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660" firstSheet="1" activeTab="1"/>
  </bookViews>
  <sheets>
    <sheet name="Таблицы" sheetId="1" state="hidden" r:id="rId1"/>
    <sheet name="Игрок1" sheetId="2" r:id="rId2"/>
    <sheet name="Игрок2" sheetId="3" r:id="rId3"/>
    <sheet name="Игрок3" sheetId="4" r:id="rId4"/>
    <sheet name="Игрок4" sheetId="5" r:id="rId5"/>
    <sheet name="Игрок5" sheetId="6" r:id="rId6"/>
    <sheet name="Игрок6" sheetId="7" r:id="rId7"/>
    <sheet name="Игрок7" sheetId="8" r:id="rId8"/>
    <sheet name="Разное" sheetId="9" r:id="rId9"/>
  </sheets>
  <definedNames/>
  <calcPr fullCalcOnLoad="1"/>
</workbook>
</file>

<file path=xl/comments9.xml><?xml version="1.0" encoding="utf-8"?>
<comments xmlns="http://schemas.openxmlformats.org/spreadsheetml/2006/main">
  <authors>
    <author>DPV3</author>
  </authors>
  <commentList>
    <comment ref="B42" authorId="0">
      <text>
        <r>
          <rPr>
            <b/>
            <sz val="8"/>
            <rFont val="Tahoma"/>
            <family val="0"/>
          </rPr>
          <t>Вйом: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ВНИМАНИЕ!</t>
        </r>
        <r>
          <rPr>
            <sz val="8"/>
            <rFont val="Tahoma"/>
            <family val="0"/>
          </rPr>
          <t xml:space="preserve"> Для работы генераторов случайных чисел установите надстройку "Пакет анализа":
- в меня "Сервис" выберите пункт "Надстройки…";
- поставьте флажок напротив надстройки "Пакет анализа";
- согласитесь с его установкой на ваш компьютер.</t>
        </r>
      </text>
    </comment>
    <comment ref="AV68" authorId="0">
      <text>
        <r>
          <rPr>
            <b/>
            <sz val="8"/>
            <rFont val="Tahoma"/>
            <family val="0"/>
          </rPr>
          <t xml:space="preserve">Вйом:
</t>
        </r>
        <r>
          <rPr>
            <sz val="8"/>
            <rFont val="Tahoma"/>
            <family val="0"/>
          </rPr>
          <t>для Легкого оружия = 1;
для Тяжелого оружия = 2;
для Энергетического оружия = 3;
для Рукопашной = 4;
для Холодного оружия = 5;
для Метательного оружия = 6.</t>
        </r>
      </text>
    </comment>
    <comment ref="BQ68" authorId="0">
      <text>
        <r>
          <rPr>
            <b/>
            <sz val="8"/>
            <rFont val="Tahoma"/>
            <family val="0"/>
          </rPr>
          <t xml:space="preserve">Вйом:
</t>
        </r>
        <r>
          <rPr>
            <sz val="8"/>
            <rFont val="Tahoma"/>
            <family val="0"/>
          </rPr>
          <t>для Легкого оружия = 1;
для Тяжелого оружия = 2;
для Энергетического оружия = 3;
для Рукопашной = 4;
для Холодного оружия = 5;
для Метательного оружия = 6.</t>
        </r>
      </text>
    </comment>
    <comment ref="Q33" authorId="0">
      <text>
        <r>
          <rPr>
            <b/>
            <sz val="8"/>
            <rFont val="Tahoma"/>
            <family val="0"/>
          </rPr>
          <t>Вйом:</t>
        </r>
        <r>
          <rPr>
            <sz val="8"/>
            <rFont val="Tahoma"/>
            <family val="0"/>
          </rPr>
          <t xml:space="preserve">
ВС   Длн (в гексах)
 1      1
 2      3
 3      5
 4      7
 5      9
 6     11
 7     13
 8     15
 9     17
 10   19
 и т.д.   ...
За каждый гекс сверх дальности от ВС начиляется штраф в -3%.</t>
        </r>
      </text>
    </comment>
    <comment ref="X33" authorId="0">
      <text>
        <r>
          <rPr>
            <b/>
            <sz val="8"/>
            <rFont val="Tahoma"/>
            <family val="0"/>
          </rPr>
          <t>Вйом:</t>
        </r>
        <r>
          <rPr>
            <sz val="8"/>
            <rFont val="Tahoma"/>
            <family val="0"/>
          </rPr>
          <t xml:space="preserve">
0%: Солнечный день, безоблачное небо; хорошо освещённое здание (офис или супермаркет)
-5%: Небольшие облака
-10%: Средние облака
-15%: Облачно
-20%: Средне освещённое здание (хорошо освещённая подземная стоянка, накуренный бар)
-30%: Небольшой дождик или пыль
-40%: Средний дождь или пыль
-50%: Плохое внутреннее освещение (рядом с входом в пещеру, на танцполе)
-60%: Сильный дождь, густая пыль
-80%: Ливень/песчаный шторм, в пещере с маленьким источником света (факел, лучина)
-150%: Буря/Ураган/Торнадо
-200%: Кромешная тьма в пещере (без источника света)
В </t>
        </r>
        <r>
          <rPr>
            <b/>
            <sz val="8"/>
            <rFont val="Tahoma"/>
            <family val="2"/>
          </rPr>
          <t>ночное время</t>
        </r>
        <r>
          <rPr>
            <sz val="8"/>
            <rFont val="Tahoma"/>
            <family val="0"/>
          </rPr>
          <t xml:space="preserve"> следует вычесть следующее:
-10%: Полнолуние
-20%: Полумесяц
-40%: Новолуние</t>
        </r>
      </text>
    </comment>
    <comment ref="C36" authorId="0">
      <text>
        <r>
          <rPr>
            <b/>
            <sz val="8"/>
            <rFont val="Tahoma"/>
            <family val="0"/>
          </rPr>
          <t>Вйом:</t>
        </r>
        <r>
          <rPr>
            <sz val="8"/>
            <rFont val="Tahoma"/>
            <family val="0"/>
          </rPr>
          <t xml:space="preserve">
Процент того, насколько какой-либо объект закрывает от атакующего жертву.</t>
        </r>
      </text>
    </comment>
    <comment ref="T36" authorId="0">
      <text>
        <r>
          <rPr>
            <b/>
            <sz val="8"/>
            <rFont val="Tahoma"/>
            <family val="0"/>
          </rPr>
          <t>Вйом: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Прицельный удар
(рукопашный бой)</t>
        </r>
        <r>
          <rPr>
            <sz val="8"/>
            <rFont val="Tahoma"/>
            <family val="0"/>
          </rPr>
          <t xml:space="preserve">
0%: торс
-10%: ноги
-15%: руки/пах
-20%: голова
-30%: глаза
</t>
        </r>
        <r>
          <rPr>
            <b/>
            <sz val="8"/>
            <rFont val="Tahoma"/>
            <family val="2"/>
          </rPr>
          <t>Прицельный выстрел
(дальний бой)</t>
        </r>
        <r>
          <rPr>
            <sz val="8"/>
            <rFont val="Tahoma"/>
            <family val="0"/>
          </rPr>
          <t xml:space="preserve">
0%: торс
-20%: ноги
-30%: руки/пах
-40%: голова
-60%: глаза
</t>
        </r>
        <r>
          <rPr>
            <b/>
            <sz val="8"/>
            <rFont val="Tahoma"/>
            <family val="2"/>
          </rPr>
          <t>Бонус КШ</t>
        </r>
        <r>
          <rPr>
            <sz val="8"/>
            <rFont val="Tahoma"/>
            <family val="0"/>
          </rPr>
          <t xml:space="preserve">
Руки           +10%
Ноги, Пах   +20%
Голова        +25%
Глаза           +30%</t>
        </r>
      </text>
    </comment>
    <comment ref="AD36" authorId="0">
      <text>
        <r>
          <rPr>
            <b/>
            <sz val="8"/>
            <rFont val="Tahoma"/>
            <family val="0"/>
          </rPr>
          <t>Вйом: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Примеры Критических попаданий </t>
        </r>
        <r>
          <rPr>
            <sz val="8"/>
            <rFont val="Tahoma"/>
            <family val="0"/>
          </rPr>
          <t xml:space="preserve">
1: Оторвана рука
2: Оторвана нога
3: 300% (*3 раза) повреждения
4: 200% (*2 раза) повреждения
5: 150% (*1.5 раза) повреждения
6: Потеря сознания на 1d4 Раундов
7: Игнорирование брони (СУ и СП равны 0)
8: Ослепление (Восприятие падает до 1)
9: Падение на землю (цель должна подняться)
10: Мгновенная смерть
</t>
        </r>
        <r>
          <rPr>
            <b/>
            <sz val="8"/>
            <rFont val="Tahoma"/>
            <family val="2"/>
          </rPr>
          <t>Примеры Критических ошибок</t>
        </r>
        <r>
          <rPr>
            <sz val="8"/>
            <rFont val="Tahoma"/>
            <family val="0"/>
          </rPr>
          <t xml:space="preserve">
1: Проблемы с патронами.
2: Оружие заклинило.
3: Потеря ОД.
4: Оружие выскользнуло.
5: Оружие взорвалось.
6: Попадание во что-то иное. 
7: Повредили себя.
8: Вы поскальзываетесь и падаете.
9: Оружие ломается. 
10: Наковальня.
</t>
        </r>
      </text>
    </comment>
  </commentList>
</comments>
</file>

<file path=xl/sharedStrings.xml><?xml version="1.0" encoding="utf-8"?>
<sst xmlns="http://schemas.openxmlformats.org/spreadsheetml/2006/main" count="4640" uniqueCount="1203">
  <si>
    <t>MELEE</t>
  </si>
  <si>
    <t>THROW</t>
  </si>
  <si>
    <t>SNEAK</t>
  </si>
  <si>
    <t>STEAL</t>
  </si>
  <si>
    <t>TRAPS</t>
  </si>
  <si>
    <t>REPAIR</t>
  </si>
  <si>
    <t>SPEECH</t>
  </si>
  <si>
    <t>BARTER</t>
  </si>
  <si>
    <t>+/-</t>
  </si>
  <si>
    <t>PILOT</t>
  </si>
  <si>
    <t>1/10</t>
  </si>
  <si>
    <t>1/8</t>
  </si>
  <si>
    <t>1/6</t>
  </si>
  <si>
    <t>5/12</t>
  </si>
  <si>
    <t>5/13</t>
  </si>
  <si>
    <t>1/11</t>
  </si>
  <si>
    <t>1/7</t>
  </si>
  <si>
    <t>3/12</t>
  </si>
  <si>
    <t>2/11</t>
  </si>
  <si>
    <t>6/14</t>
  </si>
  <si>
    <t>4/12</t>
  </si>
  <si>
    <t>1/13</t>
  </si>
  <si>
    <t>1/3</t>
  </si>
  <si>
    <t>1/4</t>
  </si>
  <si>
    <t>6/16</t>
  </si>
  <si>
    <t>4/14</t>
  </si>
  <si>
    <t>1/5</t>
  </si>
  <si>
    <t>1/15</t>
  </si>
  <si>
    <t>7/12</t>
  </si>
  <si>
    <t>1/1</t>
  </si>
  <si>
    <t>1/12</t>
  </si>
  <si>
    <t>5/5</t>
  </si>
  <si>
    <t>SMALL</t>
  </si>
  <si>
    <t>BIG</t>
  </si>
  <si>
    <t>ENERGY</t>
  </si>
  <si>
    <t>UNARMD</t>
  </si>
  <si>
    <t>FST AID</t>
  </si>
  <si>
    <t>DOCT</t>
  </si>
  <si>
    <t>LOCK</t>
  </si>
  <si>
    <t>SCI</t>
  </si>
  <si>
    <t>GAMBLE</t>
  </si>
  <si>
    <t>OUTDR</t>
  </si>
  <si>
    <t>GLOWING ONE</t>
  </si>
  <si>
    <t>TECH WIZARD</t>
  </si>
  <si>
    <t>FEAR THE REAPER</t>
  </si>
  <si>
    <t>VAT SKIN</t>
  </si>
  <si>
    <t>HAM FISTED</t>
  </si>
  <si>
    <t>DOMESTICATED</t>
  </si>
  <si>
    <t>RABID</t>
  </si>
  <si>
    <t>TIGHT NUTS</t>
  </si>
  <si>
    <t>TARGETING COMPUTER</t>
  </si>
  <si>
    <t>EMP SHIELDING</t>
  </si>
  <si>
    <t>BETA SOFTWARE</t>
  </si>
  <si>
    <t xml:space="preserve"> </t>
  </si>
  <si>
    <t>TECH WIZ</t>
  </si>
  <si>
    <t>HAMFIST</t>
  </si>
  <si>
    <t>00/00</t>
  </si>
  <si>
    <t>X</t>
  </si>
  <si>
    <t>УРОВЕНЬ</t>
  </si>
  <si>
    <t>ОПЫТ</t>
  </si>
  <si>
    <t>СЛЕД.УРОВЕНЬ</t>
  </si>
  <si>
    <t>КАРМА</t>
  </si>
  <si>
    <t>ОЖ / УРОВЕНЬ</t>
  </si>
  <si>
    <t>ОЧКИ УМЕНИЙ / УРОВЕНЬ</t>
  </si>
  <si>
    <t>Ф.И.О. (КЛИЧКА)</t>
  </si>
  <si>
    <t>ПОЛ</t>
  </si>
  <si>
    <t>РОСТ</t>
  </si>
  <si>
    <t>ГЛАЗА</t>
  </si>
  <si>
    <t>КОЖА</t>
  </si>
  <si>
    <t>РАСА</t>
  </si>
  <si>
    <t>ВЕС</t>
  </si>
  <si>
    <t>ВОЛОСЫ</t>
  </si>
  <si>
    <t>ОЧКИ ЖИЗНИ</t>
  </si>
  <si>
    <t>УМЕНИЯ</t>
  </si>
  <si>
    <t>БАЗА</t>
  </si>
  <si>
    <t>ВСЕГО</t>
  </si>
  <si>
    <t>РУКОПАШНАЯ</t>
  </si>
  <si>
    <t>ЭНЕРГЕТИЧЕСКОЕ</t>
  </si>
  <si>
    <t>ХОЛОДНОЕ ОРУЖИЕ</t>
  </si>
  <si>
    <t>ПЕРВАЯ ПОМОЩЬ</t>
  </si>
  <si>
    <t>ДОКТОР</t>
  </si>
  <si>
    <t>КРАСТЬСЯ</t>
  </si>
  <si>
    <t>ВЗЛОМ</t>
  </si>
  <si>
    <t>КРАЖА</t>
  </si>
  <si>
    <t>ЛОВУШКИ</t>
  </si>
  <si>
    <t>НАУКА</t>
  </si>
  <si>
    <t>РЕМОНТ</t>
  </si>
  <si>
    <t>ВОЖДЕНИЕ</t>
  </si>
  <si>
    <t>РАЗГОВОР</t>
  </si>
  <si>
    <t>ОБМЕН</t>
  </si>
  <si>
    <t>ИГРА</t>
  </si>
  <si>
    <t>СКИТАЛЕЦ</t>
  </si>
  <si>
    <t>УР. / НАВЫК</t>
  </si>
  <si>
    <t>ОСОБОЕ</t>
  </si>
  <si>
    <t>СТАТ</t>
  </si>
  <si>
    <t>МИН/МАКС</t>
  </si>
  <si>
    <t>УНИКУМЫ</t>
  </si>
  <si>
    <t>ОРУЖИЕ</t>
  </si>
  <si>
    <t>КОЛ-ВО</t>
  </si>
  <si>
    <t>ШТ. В ОЧЕРЕДИ</t>
  </si>
  <si>
    <t>СОСТОЯНИЕ</t>
  </si>
  <si>
    <t>БРОНЯ</t>
  </si>
  <si>
    <t>НАВЫКИ</t>
  </si>
  <si>
    <t>СУ/СП</t>
  </si>
  <si>
    <t>ЛАЗЕРНОЕ</t>
  </si>
  <si>
    <t>ПЛАЗМЕННОЕ</t>
  </si>
  <si>
    <t>ВЗРЫВЧАТОЕ</t>
  </si>
  <si>
    <t>ОГНЕННОЕ</t>
  </si>
  <si>
    <t>до 101</t>
  </si>
  <si>
    <t>до 126</t>
  </si>
  <si>
    <t>до 151</t>
  </si>
  <si>
    <t>до 176</t>
  </si>
  <si>
    <t>до 201</t>
  </si>
  <si>
    <t>Использовано:</t>
  </si>
  <si>
    <t>СИ</t>
  </si>
  <si>
    <t>ВС</t>
  </si>
  <si>
    <t>ВН</t>
  </si>
  <si>
    <t>ОБ</t>
  </si>
  <si>
    <t>ИН</t>
  </si>
  <si>
    <t>ЛВ</t>
  </si>
  <si>
    <t>УД</t>
  </si>
  <si>
    <t>ЧЕЛОВЕК</t>
  </si>
  <si>
    <t>МЕРТВЯК</t>
  </si>
  <si>
    <t>ПОЛУ-МУТАНТ</t>
  </si>
  <si>
    <t>КОГОТЬ СМЕРТИ</t>
  </si>
  <si>
    <t>Человек</t>
  </si>
  <si>
    <t>Мертвяк</t>
  </si>
  <si>
    <t>Коготь Смерти</t>
  </si>
  <si>
    <t>Собака</t>
  </si>
  <si>
    <t>Урон</t>
  </si>
  <si>
    <t>УР / НАВЫК</t>
  </si>
  <si>
    <t>Сопр. Газу</t>
  </si>
  <si>
    <t>Сопр. Элект</t>
  </si>
  <si>
    <t>Сопр. Яду</t>
  </si>
  <si>
    <t>Сопр. Рад</t>
  </si>
  <si>
    <t>Бонус ОЖ</t>
  </si>
  <si>
    <t>Бонус Рук. Урон</t>
  </si>
  <si>
    <t>ИММУНИТЕТ</t>
  </si>
  <si>
    <t>НИКОГДА</t>
  </si>
  <si>
    <t>1/9</t>
  </si>
  <si>
    <t>2/13</t>
  </si>
  <si>
    <t>Рук. Урон</t>
  </si>
  <si>
    <t>Ур. Леч.</t>
  </si>
  <si>
    <t>00/35</t>
  </si>
  <si>
    <t>Бонус ОЖ на старте</t>
  </si>
  <si>
    <t>00/15</t>
  </si>
  <si>
    <t>00/30</t>
  </si>
  <si>
    <t>Бонус Оч.Умений / УР.</t>
  </si>
  <si>
    <t>Описание</t>
  </si>
  <si>
    <t>УНИКУМ 1</t>
  </si>
  <si>
    <t>УНИКУМ 2</t>
  </si>
  <si>
    <t>НЕТ</t>
  </si>
  <si>
    <t>УЛ</t>
  </si>
  <si>
    <t>БОНУС</t>
  </si>
  <si>
    <t>СОБАКА</t>
  </si>
  <si>
    <t>РОБОТ</t>
  </si>
  <si>
    <t>Быстрый Метаболизм</t>
  </si>
  <si>
    <t>Громила</t>
  </si>
  <si>
    <t>Малый Рост</t>
  </si>
  <si>
    <t>Однорукий</t>
  </si>
  <si>
    <t>Точность</t>
  </si>
  <si>
    <t>Камикадзе</t>
  </si>
  <si>
    <t>Тяжелый на Руку</t>
  </si>
  <si>
    <t>Быстрый Стрелок</t>
  </si>
  <si>
    <t>Мясник</t>
  </si>
  <si>
    <t>Дурной Глаз</t>
  </si>
  <si>
    <t>Добродушный</t>
  </si>
  <si>
    <t>Неустойчивый к химии</t>
  </si>
  <si>
    <t>Устойчивый к химии</t>
  </si>
  <si>
    <t>Ночной человек</t>
  </si>
  <si>
    <t>Умелец</t>
  </si>
  <si>
    <t>Одаренный</t>
  </si>
  <si>
    <t>Сексапильность</t>
  </si>
  <si>
    <t>ОД</t>
  </si>
  <si>
    <t>КБ</t>
  </si>
  <si>
    <t>СУПЕР-МУТАНТ A</t>
  </si>
  <si>
    <t>СУПЕР-МУТАНТ B</t>
  </si>
  <si>
    <t xml:space="preserve"> +2 СИ, -2 ОД</t>
  </si>
  <si>
    <t xml:space="preserve"> Уровень Лечения +2, Сопротивление Рад. и Яду по 0%</t>
  </si>
  <si>
    <t xml:space="preserve"> +1 ЛВ, Максимальный Груз = 15фнт х СИ</t>
  </si>
  <si>
    <t xml:space="preserve"> +20% к Оружию для одной руки, -40% к Оружию для двух рук</t>
  </si>
  <si>
    <t xml:space="preserve"> -30% Урона для всех атак, +10% Критический Шанс</t>
  </si>
  <si>
    <t xml:space="preserve"> +50% шанса на Критическую Ошибку для себя и всех вокруг</t>
  </si>
  <si>
    <t xml:space="preserve">  -10% Боевые Умения, +20% Мирные Умения</t>
  </si>
  <si>
    <t xml:space="preserve"> Противники умирают ужасными смертями</t>
  </si>
  <si>
    <t xml:space="preserve"> Запрещены Прицельные Выстрелы, -1 ОД при Использовании Огнестрельного Оружия</t>
  </si>
  <si>
    <t xml:space="preserve"> Базовое значение КБ=0, Порядок Действий +5</t>
  </si>
  <si>
    <t xml:space="preserve"> Шанс Привыкания удвоен, время Отвыкания уменьшено наполовину</t>
  </si>
  <si>
    <t xml:space="preserve"> -1 ВС и -1 ИН  с 6.00 до 18.00, +1 ВС и +1 ИН с 18.00 до 6.00</t>
  </si>
  <si>
    <t xml:space="preserve"> +15% Наука, Ремонт и Взлом, -1 ВС </t>
  </si>
  <si>
    <t xml:space="preserve"> +2 ИН, -2 Рукопашный Урон</t>
  </si>
  <si>
    <t>Рук.Урон</t>
  </si>
  <si>
    <t>Сопр.Рад.</t>
  </si>
  <si>
    <t>Пор.Дейст.</t>
  </si>
  <si>
    <t>Ур.Лечения</t>
  </si>
  <si>
    <t>Сопр.Яду</t>
  </si>
  <si>
    <t>Макс.Груз</t>
  </si>
  <si>
    <t>УР / Навык</t>
  </si>
  <si>
    <t>Крит.Шанс</t>
  </si>
  <si>
    <t>Оч.Ум./ Ур.</t>
  </si>
  <si>
    <t xml:space="preserve"> +1 ОД стоит каждая Огнестрельная атака, +15% Шанс на Попадание</t>
  </si>
  <si>
    <t xml:space="preserve"> Не доступен этой расе</t>
  </si>
  <si>
    <t xml:space="preserve"> 1/2 всех эффектов от Химикатов, 1/2 шанса Привыкания</t>
  </si>
  <si>
    <t xml:space="preserve"> все Статы +1, все Умения -10% в начале игры,  -5 Оч.Ум./ Ур.</t>
  </si>
  <si>
    <t xml:space="preserve"> +1 ОБ для реакций, +40% Обмен, Разг. с другим полом, обратное для своего пола</t>
  </si>
  <si>
    <t xml:space="preserve"> Нет штрафов за темноту для всех и себя, +50% Сопр.Рад. для себя, +10 рад/час всем</t>
  </si>
  <si>
    <t xml:space="preserve"> Навык раз в 3 уровня, раз в месяц Бросок на УД или смерть</t>
  </si>
  <si>
    <t xml:space="preserve"> +10 КБ, -1 ВС от запаха всем в радиусе 10 гексов</t>
  </si>
  <si>
    <t xml:space="preserve"> + Умение Рукопашной, -20% Легкое Ор., Перв. Пом., Доктор, Наука, Ремонт и Взлом</t>
  </si>
  <si>
    <t xml:space="preserve"> Нет штрафов при переломах, Химикаты не действуют, +5 ОД после кажд. убийства</t>
  </si>
  <si>
    <t xml:space="preserve"> 2 ОД для движения за 1 гекс, +30% Сопр.   ЭМИ-оружию</t>
  </si>
  <si>
    <t xml:space="preserve"> +1 Особое Умение, Бросок на УД при исп. всех Особых или пропустить ход</t>
  </si>
  <si>
    <t>Навык</t>
  </si>
  <si>
    <t>Эффект</t>
  </si>
  <si>
    <t>Уникум</t>
  </si>
  <si>
    <t>1ое</t>
  </si>
  <si>
    <t>2ое</t>
  </si>
  <si>
    <t>Опыт за уровень</t>
  </si>
  <si>
    <t>Опыт</t>
  </si>
  <si>
    <t>Ур.</t>
  </si>
  <si>
    <t>Оч.Оп.</t>
  </si>
  <si>
    <t>ОСОБЕННОСТИ</t>
  </si>
  <si>
    <t>ИТОГ</t>
  </si>
  <si>
    <t>СП</t>
  </si>
  <si>
    <t>Лазерное</t>
  </si>
  <si>
    <t>Огненное</t>
  </si>
  <si>
    <t>Плазменное</t>
  </si>
  <si>
    <t>Взрывчатое</t>
  </si>
  <si>
    <t>НОВАЯ РАСА</t>
  </si>
  <si>
    <t>ЦЕНА</t>
  </si>
  <si>
    <t>ИТОГО</t>
  </si>
  <si>
    <t>НОРМАЛЬНОЕ</t>
  </si>
  <si>
    <t>Светящийся</t>
  </si>
  <si>
    <t>Вонючка</t>
  </si>
  <si>
    <t>Неуклюжий</t>
  </si>
  <si>
    <t>Бешеный</t>
  </si>
  <si>
    <t>Крепкий орешек</t>
  </si>
  <si>
    <t>Система наведения</t>
  </si>
  <si>
    <t>Тестовое ПО</t>
  </si>
  <si>
    <t>Быстрый метаболизм</t>
  </si>
  <si>
    <t xml:space="preserve"> +1 ЛВ, Максимальный Груз = 15фнт х СЛ</t>
  </si>
  <si>
    <t>Малый рост</t>
  </si>
  <si>
    <t>Быстрый стрелок</t>
  </si>
  <si>
    <t>Дурной глаз</t>
  </si>
  <si>
    <t>Полуночник</t>
  </si>
  <si>
    <t>Техномаг</t>
  </si>
  <si>
    <t>Страх смерти</t>
  </si>
  <si>
    <t>Одомашненный</t>
  </si>
  <si>
    <t>ЭМИ защита</t>
  </si>
  <si>
    <t>Супермутант α</t>
  </si>
  <si>
    <t>Полумутант</t>
  </si>
  <si>
    <t>Супермутант β</t>
  </si>
  <si>
    <t>Робот-гуманоид</t>
  </si>
  <si>
    <t>Тяжёлый на руку</t>
  </si>
  <si>
    <t>Одарённый</t>
  </si>
  <si>
    <t>ТЯЖЁЛОЕ  ОРУЖИЕ</t>
  </si>
  <si>
    <t>ЛЁГКОЕ  ОРУЖИЕ</t>
  </si>
  <si>
    <t>ХАРАКТЕРИСТИКА</t>
  </si>
  <si>
    <t>СЛ</t>
  </si>
  <si>
    <t>МАКСИМАЛЬНЫЙ ГРУЗ</t>
  </si>
  <si>
    <t>ОЧКИ ДЕЙСТВИЙ</t>
  </si>
  <si>
    <t>ПОРЯДОК ДЕЙСТВИЙ</t>
  </si>
  <si>
    <t>РУКОПАШНЫЙ УРОН</t>
  </si>
  <si>
    <t>КРИТИЧЕСКИЙ ШАНС</t>
  </si>
  <si>
    <t>УРОВЕНЬ ЛЕЧЕНИЯ</t>
  </si>
  <si>
    <t>СОПРОТИВЛЕНИЕ ЯДУ</t>
  </si>
  <si>
    <t>СОПРОТИВЛЕНИЕ РАДИАЦИИ</t>
  </si>
  <si>
    <t>СОПРОТИВЛЕНИЕ ГАЗУ</t>
  </si>
  <si>
    <t>СОПРОТИВЛЕНИЕ ЭЛЕКТРИЧЕСТВУ</t>
  </si>
  <si>
    <t>КЛАСС БРОНИ</t>
  </si>
  <si>
    <t>КОЛ-ВО РАД</t>
  </si>
  <si>
    <t>УРОВНИ ЯДА</t>
  </si>
  <si>
    <t>ТЕКУЩИЕ ОЖ</t>
  </si>
  <si>
    <t>ПЕРЕЛОМ</t>
  </si>
  <si>
    <t>ОУ</t>
  </si>
  <si>
    <t>%</t>
  </si>
  <si>
    <t>ОПИСАНИЕ</t>
  </si>
  <si>
    <t>ЛЕВАЯ РУКА</t>
  </si>
  <si>
    <t>В:</t>
  </si>
  <si>
    <t>ПВР:</t>
  </si>
  <si>
    <t>ДЛН:</t>
  </si>
  <si>
    <t>ОД:</t>
  </si>
  <si>
    <t>Н:</t>
  </si>
  <si>
    <t>П:</t>
  </si>
  <si>
    <t>О:</t>
  </si>
  <si>
    <t>н/д</t>
  </si>
  <si>
    <t>МАКС.</t>
  </si>
  <si>
    <t>В ИНВ.</t>
  </si>
  <si>
    <t>КОЛ-ВО В ОБОЙМЕ:</t>
  </si>
  <si>
    <t>+25</t>
  </si>
  <si>
    <t>ПРАВАЯ РУКА</t>
  </si>
  <si>
    <t>Шипованная броня супермутантов Модель II</t>
  </si>
  <si>
    <t>ОРУЖИЕ:</t>
  </si>
  <si>
    <t>БАЗОВЫЙ</t>
  </si>
  <si>
    <t xml:space="preserve"> +/-</t>
  </si>
  <si>
    <t>ИТОГОВЫЙ</t>
  </si>
  <si>
    <t>ОСНОВНАЯ:</t>
  </si>
  <si>
    <t>ШЛЕМ:</t>
  </si>
  <si>
    <t>КБ:</t>
  </si>
  <si>
    <t>ИТОГОВЫЕ</t>
  </si>
  <si>
    <t>ИЗМЕНЕННЫЙ</t>
  </si>
  <si>
    <t>ИНВЕНТАРЬ</t>
  </si>
  <si>
    <t>Р.ЦЕНА</t>
  </si>
  <si>
    <t>№</t>
  </si>
  <si>
    <t>НАИМЕНОВАНИЕ</t>
  </si>
  <si>
    <t>ДАНО:</t>
  </si>
  <si>
    <t>ОСТАЛОСЬ:</t>
  </si>
  <si>
    <t>"Харлей-Дэвидсон"</t>
  </si>
  <si>
    <t>МС:</t>
  </si>
  <si>
    <t>ВУ:</t>
  </si>
  <si>
    <t>СТ:</t>
  </si>
  <si>
    <t>РП:</t>
  </si>
  <si>
    <t>МД:</t>
  </si>
  <si>
    <t>ПМ:</t>
  </si>
  <si>
    <t>ГП:</t>
  </si>
  <si>
    <t>К:</t>
  </si>
  <si>
    <t>Д:</t>
  </si>
  <si>
    <t>У:</t>
  </si>
  <si>
    <t>З:</t>
  </si>
  <si>
    <t>Ш:</t>
  </si>
  <si>
    <t>ЦК БАЗА</t>
  </si>
  <si>
    <t>ЦК ИТОГ</t>
  </si>
  <si>
    <t>Л:</t>
  </si>
  <si>
    <t>БАК:</t>
  </si>
  <si>
    <t>/60</t>
  </si>
  <si>
    <t>ТЕХНИКА</t>
  </si>
  <si>
    <t>ПРОЧЕЕ</t>
  </si>
  <si>
    <t>ОСОБЕННОСТЬ:</t>
  </si>
  <si>
    <t xml:space="preserve"> +5 к Снятию Урона от любого оружия, при ремонте только +1/2 ОЖ </t>
  </si>
  <si>
    <t xml:space="preserve"> +5 к Снятию Урона от любого оружия, при ремонте только +1/2 ОЖ</t>
  </si>
  <si>
    <t>НАЗВАНИЕ</t>
  </si>
  <si>
    <t>ИГРОК</t>
  </si>
  <si>
    <t>В</t>
  </si>
  <si>
    <t>ПВР</t>
  </si>
  <si>
    <t>ДЛН</t>
  </si>
  <si>
    <t>Н</t>
  </si>
  <si>
    <t>П</t>
  </si>
  <si>
    <t>О</t>
  </si>
  <si>
    <t>ШТ.В О</t>
  </si>
  <si>
    <t>МАГАЗИН</t>
  </si>
  <si>
    <t>Руки</t>
  </si>
  <si>
    <t>Ноги</t>
  </si>
  <si>
    <t>1d4+РУ</t>
  </si>
  <si>
    <t>Кастет</t>
  </si>
  <si>
    <t>Когти тигра</t>
  </si>
  <si>
    <t>Оглушители</t>
  </si>
  <si>
    <t>Резаки</t>
  </si>
  <si>
    <t>Раздиратели</t>
  </si>
  <si>
    <t>Рукавица-булава</t>
  </si>
  <si>
    <t>Шипованный кастет</t>
  </si>
  <si>
    <t>Боксёрские перчатки</t>
  </si>
  <si>
    <t>Утяжелённые боксерские</t>
  </si>
  <si>
    <t>Кулак-кинжал</t>
  </si>
  <si>
    <t>Ударная перчатка</t>
  </si>
  <si>
    <t>Адамантиновые когти</t>
  </si>
  <si>
    <t>Камень</t>
  </si>
  <si>
    <t>Глушилка</t>
  </si>
  <si>
    <t>Заточка</t>
  </si>
  <si>
    <t>Битая бутылка</t>
  </si>
  <si>
    <t>Заострённые шест</t>
  </si>
  <si>
    <t>Тяпка</t>
  </si>
  <si>
    <t>Металлическая труба</t>
  </si>
  <si>
    <t>Деревянная дубина</t>
  </si>
  <si>
    <t>Резиновая дубинка</t>
  </si>
  <si>
    <t>Лопата</t>
  </si>
  <si>
    <t>Нож</t>
  </si>
  <si>
    <t>Клещи</t>
  </si>
  <si>
    <t>Топор</t>
  </si>
  <si>
    <t>Выкидной нож</t>
  </si>
  <si>
    <t>Разводной ключ</t>
  </si>
  <si>
    <t>Монтировка</t>
  </si>
  <si>
    <t>Копьё</t>
  </si>
  <si>
    <t>Мачете</t>
  </si>
  <si>
    <t>Тесак</t>
  </si>
  <si>
    <t>Кувалда</t>
  </si>
  <si>
    <t>Скальпель</t>
  </si>
  <si>
    <t>Боевой нож</t>
  </si>
  <si>
    <t>Меч Вакизаши</t>
  </si>
  <si>
    <t xml:space="preserve">Бита </t>
  </si>
  <si>
    <t>Микро кувалда</t>
  </si>
  <si>
    <t>Удавка</t>
  </si>
  <si>
    <t>Протонный топор</t>
  </si>
  <si>
    <t>Супер кувалда</t>
  </si>
  <si>
    <t>Лёгкий пистолет, .22</t>
  </si>
  <si>
    <t>Кольт 6520, 10мм</t>
  </si>
  <si>
    <t>Кольт М1911А1, .45</t>
  </si>
  <si>
    <t>Револьвер "Магнум", .357</t>
  </si>
  <si>
    <t>Револьвер "Магнум", .44</t>
  </si>
  <si>
    <t>Пустынный орёл, .44</t>
  </si>
  <si>
    <t>Калмко М-950, 9мм</t>
  </si>
  <si>
    <t>Зиг-Зауер П220, 9мм</t>
  </si>
  <si>
    <t>Зиг-Зауер, 14мм</t>
  </si>
  <si>
    <t>Маузер, 9мм</t>
  </si>
  <si>
    <t>Скорпио ВЗ61, 9мм</t>
  </si>
  <si>
    <t>.223</t>
  </si>
  <si>
    <t>Гранатомёт М-78, 40мм</t>
  </si>
  <si>
    <t>Дробовик "Винчестер", 12мм</t>
  </si>
  <si>
    <t>Х&amp;К МП-9, 10мм</t>
  </si>
  <si>
    <t>Охотничья винтовка, .22</t>
  </si>
  <si>
    <t>60мм миномёт М2</t>
  </si>
  <si>
    <t>51мм миномёт ПС-22</t>
  </si>
  <si>
    <t>Мешочек с порошком</t>
  </si>
  <si>
    <t>Дротик</t>
  </si>
  <si>
    <t>Бола</t>
  </si>
  <si>
    <t>Бумеранг</t>
  </si>
  <si>
    <t>Сюрикены</t>
  </si>
  <si>
    <t>Чакрам</t>
  </si>
  <si>
    <t>Коктейль Молотова</t>
  </si>
  <si>
    <t>Метательный нож</t>
  </si>
  <si>
    <t>Дымовая граната</t>
  </si>
  <si>
    <t>Осколочная граната</t>
  </si>
  <si>
    <t>Гремучие жуки</t>
  </si>
  <si>
    <t>Шипастый шар</t>
  </si>
  <si>
    <t>Плазменная граната</t>
  </si>
  <si>
    <t>Газовая граната</t>
  </si>
  <si>
    <t>Кислотная граната</t>
  </si>
  <si>
    <t>Световая граната</t>
  </si>
  <si>
    <t>Химическая граната</t>
  </si>
  <si>
    <t>Зажигательная граната</t>
  </si>
  <si>
    <t>Импульсная граната</t>
  </si>
  <si>
    <t>Боеприпасы</t>
  </si>
  <si>
    <t>Стрела</t>
  </si>
  <si>
    <t>Пулька</t>
  </si>
  <si>
    <t>Болт</t>
  </si>
  <si>
    <t>Гарпунный болт</t>
  </si>
  <si>
    <t>.22</t>
  </si>
  <si>
    <t>.223 ЦМ</t>
  </si>
  <si>
    <t>.223 ББ</t>
  </si>
  <si>
    <t>.223 СЦТ</t>
  </si>
  <si>
    <t>.303</t>
  </si>
  <si>
    <t xml:space="preserve"> 30.06</t>
  </si>
  <si>
    <t>.357 "Магнум"</t>
  </si>
  <si>
    <t>.38</t>
  </si>
  <si>
    <t>.44 "Магнум" Круглая пуля</t>
  </si>
  <si>
    <t>.44 "Магнум" СЦТ</t>
  </si>
  <si>
    <t>.44 "Магнум" ББ</t>
  </si>
  <si>
    <t>.44 "Магнум" ЦМ</t>
  </si>
  <si>
    <t>.45</t>
  </si>
  <si>
    <t>.50</t>
  </si>
  <si>
    <t>.50 БМГ</t>
  </si>
  <si>
    <t>12мм Пуля</t>
  </si>
  <si>
    <t>12мм Дробь</t>
  </si>
  <si>
    <t>12мм ЭМИ</t>
  </si>
  <si>
    <t>12мм Резиновая пуля</t>
  </si>
  <si>
    <t>2мм ЕС</t>
  </si>
  <si>
    <t>4.7мм Безоболочечные</t>
  </si>
  <si>
    <t>5мм СЦТ</t>
  </si>
  <si>
    <t>5мм ЦМ</t>
  </si>
  <si>
    <t>5мм ББ</t>
  </si>
  <si>
    <t>5.56мм</t>
  </si>
  <si>
    <t>7.62мм</t>
  </si>
  <si>
    <t>7.65мм</t>
  </si>
  <si>
    <t>9мм Круглая пуля</t>
  </si>
  <si>
    <t>9мм СЦТ</t>
  </si>
  <si>
    <t>9мм ЦМ</t>
  </si>
  <si>
    <t>9мм ББ</t>
  </si>
  <si>
    <t>10мм СЦТ</t>
  </si>
  <si>
    <t>10мм ЦМ</t>
  </si>
  <si>
    <t>10мм ББ</t>
  </si>
  <si>
    <t>14мм СЦТ</t>
  </si>
  <si>
    <t>14мм ЦМ</t>
  </si>
  <si>
    <t>14мм ББ</t>
  </si>
  <si>
    <t>Иглы Стандартные</t>
  </si>
  <si>
    <t>Иглы ББ Стандартные</t>
  </si>
  <si>
    <t>Иглы с Биотоксином</t>
  </si>
  <si>
    <t xml:space="preserve">40мм Осколочная </t>
  </si>
  <si>
    <t>40мм Плазменная</t>
  </si>
  <si>
    <t>40мм Импульсная</t>
  </si>
  <si>
    <t>51мм Фугасный</t>
  </si>
  <si>
    <t>51мм Газовый</t>
  </si>
  <si>
    <t>60мм Фугасный</t>
  </si>
  <si>
    <t>60мм Плазменный</t>
  </si>
  <si>
    <t>60мм Импульсный</t>
  </si>
  <si>
    <t>Ракета Фугасная</t>
  </si>
  <si>
    <t>Ракета Бронебойная</t>
  </si>
  <si>
    <t>Ракета ЭМИ</t>
  </si>
  <si>
    <t>Ракета ЗРС ТОУ-II</t>
  </si>
  <si>
    <t>Баллон с горючим</t>
  </si>
  <si>
    <t>Баллон с плазмой</t>
  </si>
  <si>
    <t>Малая энергобатарейка</t>
  </si>
  <si>
    <t>Микроядерная батарея</t>
  </si>
  <si>
    <t>Броня</t>
  </si>
  <si>
    <t>Роба</t>
  </si>
  <si>
    <t>Роба Братства</t>
  </si>
  <si>
    <t>Кожаная куртка</t>
  </si>
  <si>
    <t>Кожаная куртка мутанта</t>
  </si>
  <si>
    <t>Кожаная броня</t>
  </si>
  <si>
    <t>Броня рейдеров</t>
  </si>
  <si>
    <t>Бронерубашка</t>
  </si>
  <si>
    <t>Изуверская броня</t>
  </si>
  <si>
    <t>Кожаная броня Братства</t>
  </si>
  <si>
    <t>Боевая кожаная куртка</t>
  </si>
  <si>
    <t>Кожаная броня МК II</t>
  </si>
  <si>
    <t>Кожаная броня Братства МК II</t>
  </si>
  <si>
    <t>Броня из шкуры Когтя Смерти</t>
  </si>
  <si>
    <t>Металлическая броня</t>
  </si>
  <si>
    <t>Кевларовый бронежилет</t>
  </si>
  <si>
    <t>Риверские обмотки</t>
  </si>
  <si>
    <t>Броня мертвяков</t>
  </si>
  <si>
    <t>Усиленная броня мертвяков</t>
  </si>
  <si>
    <t>Металлическая броня Братства</t>
  </si>
  <si>
    <t>Металлическая броня МК II</t>
  </si>
  <si>
    <t>Плотные обмотки</t>
  </si>
  <si>
    <t>Пластинчатая броня мутантов</t>
  </si>
  <si>
    <t>Кевларовый бронекостюм</t>
  </si>
  <si>
    <t>Тесла-броня</t>
  </si>
  <si>
    <t>Тесла-броня Братства</t>
  </si>
  <si>
    <t>Боевая броня Братства</t>
  </si>
  <si>
    <t>Радиационный костюм</t>
  </si>
  <si>
    <t>Боевая броня</t>
  </si>
  <si>
    <t>Боевая броня МК II</t>
  </si>
  <si>
    <t>Изоляционная броня Братства</t>
  </si>
  <si>
    <t>Псевдо-хитиновая броня</t>
  </si>
  <si>
    <t>Энергоброня</t>
  </si>
  <si>
    <t>Укрепленная энергоброня</t>
  </si>
  <si>
    <t>Энергоброня Братства</t>
  </si>
  <si>
    <t>Улучшенная энергоброня</t>
  </si>
  <si>
    <t>Улучшенная энергоброня МК II</t>
  </si>
  <si>
    <t>Улучшенная Энергоброня Братства</t>
  </si>
  <si>
    <t>Изоляционная броня Братства М II</t>
  </si>
  <si>
    <t>Шипованная пластинчатая броня мутантов</t>
  </si>
  <si>
    <t>Металлическая броня Братства МК II</t>
  </si>
  <si>
    <t>Шлемы</t>
  </si>
  <si>
    <t>Кожаная шапка</t>
  </si>
  <si>
    <t>Рейдерский шлем</t>
  </si>
  <si>
    <t>Укрепленный кожаный шлем</t>
  </si>
  <si>
    <t>Металлический шлем</t>
  </si>
  <si>
    <t>Металлический шлем МК II</t>
  </si>
  <si>
    <t>Шлем из черепа Когтя Смерти</t>
  </si>
  <si>
    <t>Головная перевязь</t>
  </si>
  <si>
    <t>Кевларовая каска</t>
  </si>
  <si>
    <t>Рогатый шлем мутанта</t>
  </si>
  <si>
    <t>Боевой шлем</t>
  </si>
  <si>
    <t>Боевой шлем МК II</t>
  </si>
  <si>
    <t>Изоляционный шлем</t>
  </si>
  <si>
    <t>Шлем энергоброни</t>
  </si>
  <si>
    <t>Шлем улучшенной энергоброни</t>
  </si>
  <si>
    <t>Снаряжение</t>
  </si>
  <si>
    <t>Световая шашка</t>
  </si>
  <si>
    <t>Зажигалка</t>
  </si>
  <si>
    <t>Фонарик</t>
  </si>
  <si>
    <t>Верёвка</t>
  </si>
  <si>
    <t>Плотницкий молоток</t>
  </si>
  <si>
    <t>Отмычка</t>
  </si>
  <si>
    <t>Набор техника</t>
  </si>
  <si>
    <t>Защитные сапоги</t>
  </si>
  <si>
    <t>Противогаз</t>
  </si>
  <si>
    <t>Отличные отмычки</t>
  </si>
  <si>
    <t>Сейфовые отмычки</t>
  </si>
  <si>
    <t>Электронная отмычка</t>
  </si>
  <si>
    <t>Динамит</t>
  </si>
  <si>
    <t>Счётчик Гейгера</t>
  </si>
  <si>
    <t>Пластид Си-14</t>
  </si>
  <si>
    <t>Сумка хирурга</t>
  </si>
  <si>
    <t>Электронная отмычка МК II</t>
  </si>
  <si>
    <t>Набор механика</t>
  </si>
  <si>
    <t>Улёт</t>
  </si>
  <si>
    <t>Лечебный порошок</t>
  </si>
  <si>
    <t>Стимпак</t>
  </si>
  <si>
    <t>Ву-ду</t>
  </si>
  <si>
    <t>Противоядие</t>
  </si>
  <si>
    <t>Усиленное противоядие</t>
  </si>
  <si>
    <t>Вышибало</t>
  </si>
  <si>
    <t>Ментат</t>
  </si>
  <si>
    <t>Жвачка "Горячка"</t>
  </si>
  <si>
    <t>Психо</t>
  </si>
  <si>
    <t>Суперстимпак</t>
  </si>
  <si>
    <t>Травмпакет Братства</t>
  </si>
  <si>
    <t>Мутти</t>
  </si>
  <si>
    <t>Ультрастимпак</t>
  </si>
  <si>
    <t>Радовон</t>
  </si>
  <si>
    <t>Радамкрест</t>
  </si>
  <si>
    <t>Техника</t>
  </si>
  <si>
    <t>Корвега "Шоссейщик"</t>
  </si>
  <si>
    <t>Канонеро СУВ</t>
  </si>
  <si>
    <t>Ягуар</t>
  </si>
  <si>
    <t>Багги</t>
  </si>
  <si>
    <t>Пикап</t>
  </si>
  <si>
    <t>Трехтонка</t>
  </si>
  <si>
    <t>Фура</t>
  </si>
  <si>
    <t>Трэйлер</t>
  </si>
  <si>
    <t>Хаммер</t>
  </si>
  <si>
    <t>Автобус</t>
  </si>
  <si>
    <t>Мотоцикл "Ястреб"</t>
  </si>
  <si>
    <t>Спортбайк "Ракета"</t>
  </si>
  <si>
    <t>Харлей-Дэвидсон</t>
  </si>
  <si>
    <t>Каноэ</t>
  </si>
  <si>
    <t>Катамаран</t>
  </si>
  <si>
    <t>Воздушный шар</t>
  </si>
  <si>
    <t>Аэроплан</t>
  </si>
  <si>
    <t>БМП "Брэдли М2"</t>
  </si>
  <si>
    <t>БМП "Драгун"</t>
  </si>
  <si>
    <t>БМП "Кадиллак ЛАВ-150 СТ"</t>
  </si>
  <si>
    <t>20-мм пушка</t>
  </si>
  <si>
    <t>25-мм пушка</t>
  </si>
  <si>
    <t>М68 105-мм орудие</t>
  </si>
  <si>
    <t>120-мм гаубица</t>
  </si>
  <si>
    <t>152-мм РК "Армагеддон"</t>
  </si>
  <si>
    <t>М60А2 "Детройт"</t>
  </si>
  <si>
    <t>М551 "Шеридан"</t>
  </si>
  <si>
    <t>М1А1 "Абрамс"</t>
  </si>
  <si>
    <t>цена</t>
  </si>
  <si>
    <t>Кулак-пистолет, 12мм</t>
  </si>
  <si>
    <t>Энергокулак, МЭ</t>
  </si>
  <si>
    <t>Мега энергокулак, МЭ</t>
  </si>
  <si>
    <t>Погоняло, МЭ</t>
  </si>
  <si>
    <t>Потрошитель, МЭ</t>
  </si>
  <si>
    <t>Суперпогоняло, МЭ</t>
  </si>
  <si>
    <t>Бензопила, бензин</t>
  </si>
  <si>
    <t>Праща, камень</t>
  </si>
  <si>
    <t>Духовая трубка, дротик</t>
  </si>
  <si>
    <t>Деревянный лук, стрела</t>
  </si>
  <si>
    <t>Деревянный арбалет, болт</t>
  </si>
  <si>
    <t>Составной лук, стрела</t>
  </si>
  <si>
    <t>Составной арбалет, болт</t>
  </si>
  <si>
    <t>Самодельный, .22, 9мм, 10мм, .45</t>
  </si>
  <si>
    <t>Берета ВП91З (М9-ФС), 9мм</t>
  </si>
  <si>
    <t>Браунинг ХП, 9мм</t>
  </si>
  <si>
    <t>Игломёт, иглы</t>
  </si>
  <si>
    <t>Вальтер ППК, 7.65мм</t>
  </si>
  <si>
    <t xml:space="preserve">Пистолет-огнемёт, баллон </t>
  </si>
  <si>
    <t>Гаусс-пистолет ППК-12, 2мм ЕС</t>
  </si>
  <si>
    <t>Обрез "Винчестер", 12мм</t>
  </si>
  <si>
    <t>Помповое ружье, 12мм</t>
  </si>
  <si>
    <t>Берета 470, 12мм</t>
  </si>
  <si>
    <t>Боевой дробовик "Неостэд", 12мм</t>
  </si>
  <si>
    <t>Боевой дробовик "Винчестер",12мм</t>
  </si>
  <si>
    <t>Х&amp;К ШДББ, 12мм</t>
  </si>
  <si>
    <t>Панкор Джекхаммер, 12мм</t>
  </si>
  <si>
    <t>МАК 17 (М-17), .45</t>
  </si>
  <si>
    <t>Х&amp;К МП-5, 9мм</t>
  </si>
  <si>
    <t>Узи, модель 27, 9мм</t>
  </si>
  <si>
    <t>Томпсон М1928, .45</t>
  </si>
  <si>
    <t>Узи, модель 34, 9мм</t>
  </si>
  <si>
    <t>Ругер АК556Ф, 5.56мм</t>
  </si>
  <si>
    <t>Стен Ган, 9мм</t>
  </si>
  <si>
    <t>Шмайсер МП-38, 9мм</t>
  </si>
  <si>
    <t>М3А1 "Жирное оружие", .45</t>
  </si>
  <si>
    <t>Вальтер МПЛ, 9мм</t>
  </si>
  <si>
    <t>Струемёт, баллон</t>
  </si>
  <si>
    <t>Калико Либерти 100, 9мм</t>
  </si>
  <si>
    <t>Штейр УАА, 5.56мм</t>
  </si>
  <si>
    <t>Х&amp;К П90с, 10мм</t>
  </si>
  <si>
    <t>ФН П90с, 10мм</t>
  </si>
  <si>
    <t>Пневматическое ружьё, пульки</t>
  </si>
  <si>
    <t>Самопал, 10мм</t>
  </si>
  <si>
    <t>Карабин Гаранда М1, 30.06</t>
  </si>
  <si>
    <t>Карабин М17-А, 7.62мм</t>
  </si>
  <si>
    <t>Охотничья Кольта, 7.62мм, .223</t>
  </si>
  <si>
    <t>М19, 7.62мм</t>
  </si>
  <si>
    <t>Гарпунное ружьё, гарпун</t>
  </si>
  <si>
    <t>ДКС-501, 7.62мм, .223</t>
  </si>
  <si>
    <t>СВД-4000, 7.62мм</t>
  </si>
  <si>
    <t>ПСЖ1, 7.62мм</t>
  </si>
  <si>
    <t>Боевая винтовка Ж3, 7,62мм</t>
  </si>
  <si>
    <t>Ред Райдер ЛЕ, пульки</t>
  </si>
  <si>
    <t>Гаусс-винтовка М72, 2мм ЕС</t>
  </si>
  <si>
    <t>М14, .300</t>
  </si>
  <si>
    <t>Автомат Браунинга, 30.06</t>
  </si>
  <si>
    <t>АК-47, 7.62мм</t>
  </si>
  <si>
    <t>АК-112, 5мм</t>
  </si>
  <si>
    <t>АК-97, 7.62мм</t>
  </si>
  <si>
    <t>ФН ФАЛ, 7.62мм</t>
  </si>
  <si>
    <t>АК-74, 7.62мм</t>
  </si>
  <si>
    <t>М16А1, 7.62мм</t>
  </si>
  <si>
    <t>М16А2, 5,56мм</t>
  </si>
  <si>
    <t>М1989А1, 7.62мм</t>
  </si>
  <si>
    <t>ХЛ70Е3, 5мм</t>
  </si>
  <si>
    <t>Пулемёт Браунинга М2, .50</t>
  </si>
  <si>
    <t>Льюис МК II, .303</t>
  </si>
  <si>
    <t>М60, 7.62мм</t>
  </si>
  <si>
    <t>Брен Ган, .303</t>
  </si>
  <si>
    <t>МЖ3, 7.62мм</t>
  </si>
  <si>
    <t>Пулемёт ЧЗ-53, 5мм</t>
  </si>
  <si>
    <t>Лёгкий пулемёт поддержки, .223</t>
  </si>
  <si>
    <t>Пехотный пулемёт ПК, 7.62мм</t>
  </si>
  <si>
    <t>Бозар, 5мм</t>
  </si>
  <si>
    <t>М2ХБ, .50 БМГ</t>
  </si>
  <si>
    <t>Пулемёт "Мститель", 5мм</t>
  </si>
  <si>
    <t>Пулемёт "Защитник", 4.7мм</t>
  </si>
  <si>
    <t xml:space="preserve">Х&amp;К Г11 (Е), 4,7мм </t>
  </si>
  <si>
    <t>Гаусс-пулемёт МЕК, 2мм ЕС</t>
  </si>
  <si>
    <t>М203, 40мм</t>
  </si>
  <si>
    <t>Гранатомёт БГ-1, 40мм</t>
  </si>
  <si>
    <t>Ружейный гранатомёт М79, 40мм</t>
  </si>
  <si>
    <t>Установка МК-19, 40мм</t>
  </si>
  <si>
    <t>Гранатомёт АГС-17, 40мм</t>
  </si>
  <si>
    <t>ПРК ЛАУ-80, не заряжается</t>
  </si>
  <si>
    <t>ПРК "Роквелл Л-72", ракеты</t>
  </si>
  <si>
    <t>ЗРС ТОУ-II, ракеты ЗРС</t>
  </si>
  <si>
    <t>Огнемёт М9Е1-7, баллоны</t>
  </si>
  <si>
    <t>Огнемёт "Фламбе 450", баллон</t>
  </si>
  <si>
    <t>Лазерный пистолет "Ваттс 1000", МЭ</t>
  </si>
  <si>
    <t>Лазерный пистолет "Ваттс 1600", МЭ</t>
  </si>
  <si>
    <t>Солнечный прожигатель, солнце</t>
  </si>
  <si>
    <t>Электрошоковый пистолет, МЭ</t>
  </si>
  <si>
    <t>Плазменный пистолет "Глок 86", МЭ</t>
  </si>
  <si>
    <t>Инопланетный бластер, МЭ</t>
  </si>
  <si>
    <t>Импульсный пистолет ЮК32, МЭ</t>
  </si>
  <si>
    <t>Лазерный карабин Х&amp;К 31415, МБ</t>
  </si>
  <si>
    <t>Плазменное ружьё П94, МБ</t>
  </si>
  <si>
    <t>Лазерное ружьё "Ваттс 2500", МБ</t>
  </si>
  <si>
    <t>Лазерное ружьё "Ваттс3120б", МБ</t>
  </si>
  <si>
    <t>Турбоплазменное ружьё, МБ</t>
  </si>
  <si>
    <t>Импульсное ружьё ЮК42б, МБ</t>
  </si>
  <si>
    <t>Лазер Гатлинга, МБ</t>
  </si>
  <si>
    <t>Ионный излучатель, МБ</t>
  </si>
  <si>
    <t>Мезонная пушка, МБ</t>
  </si>
  <si>
    <t>1d10+РУ</t>
  </si>
  <si>
    <t>1d2+РУ</t>
  </si>
  <si>
    <t>1d6+РУ</t>
  </si>
  <si>
    <t>1d4+2+РУ</t>
  </si>
  <si>
    <t>1d8+2+РУ</t>
  </si>
  <si>
    <t>1d6+4+РУ</t>
  </si>
  <si>
    <t>1d10+4+РУ</t>
  </si>
  <si>
    <t>1d4+5+РУ</t>
  </si>
  <si>
    <t>1d10+2+РУ</t>
  </si>
  <si>
    <t>1d4+Патрон</t>
  </si>
  <si>
    <t>1d10+8+РУ</t>
  </si>
  <si>
    <t>3d6+3+РУ</t>
  </si>
  <si>
    <t>2d8+10+РУ</t>
  </si>
  <si>
    <t>3d10+20+РУ</t>
  </si>
  <si>
    <t>Стоимость</t>
  </si>
  <si>
    <t>Особое</t>
  </si>
  <si>
    <t>1d4</t>
  </si>
  <si>
    <t>1d4+1+РУ</t>
  </si>
  <si>
    <t>1d12+РУ</t>
  </si>
  <si>
    <t>1d6+2+РУ</t>
  </si>
  <si>
    <t>1d12+3+РУ</t>
  </si>
  <si>
    <t>1d10+7+РУ</t>
  </si>
  <si>
    <t>1d8+10+РУ</t>
  </si>
  <si>
    <t>3d4+РУ</t>
  </si>
  <si>
    <t>1d8+3+РУ</t>
  </si>
  <si>
    <t>1d12+4+РУ</t>
  </si>
  <si>
    <t>2d6+10+РУ</t>
  </si>
  <si>
    <t>1d20+12+РУ</t>
  </si>
  <si>
    <t>2d8+20+РУ</t>
  </si>
  <si>
    <t>4d10+РУ</t>
  </si>
  <si>
    <t>1d10+15+РУ</t>
  </si>
  <si>
    <t>3d10+10+РУ</t>
  </si>
  <si>
    <t>3d10+15+РУ</t>
  </si>
  <si>
    <t>1d10</t>
  </si>
  <si>
    <t>+0</t>
  </si>
  <si>
    <t>+3</t>
  </si>
  <si>
    <t>+4</t>
  </si>
  <si>
    <t>+5</t>
  </si>
  <si>
    <t>+6</t>
  </si>
  <si>
    <t>Короткоствольный револьвер, .38</t>
  </si>
  <si>
    <t>+7</t>
  </si>
  <si>
    <t>+8</t>
  </si>
  <si>
    <t>+11</t>
  </si>
  <si>
    <t>+10</t>
  </si>
  <si>
    <t>Револьвер "Кэжулл"</t>
  </si>
  <si>
    <t>+13</t>
  </si>
  <si>
    <t>+12</t>
  </si>
  <si>
    <t>разное</t>
  </si>
  <si>
    <t>+9</t>
  </si>
  <si>
    <t>+20</t>
  </si>
  <si>
    <t>+22</t>
  </si>
  <si>
    <t>+14</t>
  </si>
  <si>
    <t>+15</t>
  </si>
  <si>
    <t>+19</t>
  </si>
  <si>
    <t>+2</t>
  </si>
  <si>
    <t>Особенность</t>
  </si>
  <si>
    <t>2d10+5</t>
  </si>
  <si>
    <t>+33</t>
  </si>
  <si>
    <t>20 (70)</t>
  </si>
  <si>
    <t>45 (90)</t>
  </si>
  <si>
    <t>+18</t>
  </si>
  <si>
    <t>35 (120)</t>
  </si>
  <si>
    <t>45 (100)</t>
  </si>
  <si>
    <t>10 (110)</t>
  </si>
  <si>
    <t>40 (80)</t>
  </si>
  <si>
    <t>ФН Миними (М249 САВ), 5,56мм,7.62</t>
  </si>
  <si>
    <t>40 (130)</t>
  </si>
  <si>
    <t>н/д (100)</t>
  </si>
  <si>
    <t>н/д (140)</t>
  </si>
  <si>
    <t>+50</t>
  </si>
  <si>
    <t>15 (25)</t>
  </si>
  <si>
    <t>н/д (170)</t>
  </si>
  <si>
    <t>0,7 км</t>
  </si>
  <si>
    <t>0,5 км</t>
  </si>
  <si>
    <t>6d8+30</t>
  </si>
  <si>
    <t>10d10+200</t>
  </si>
  <si>
    <t>1d8+10</t>
  </si>
  <si>
    <t>1d12+10</t>
  </si>
  <si>
    <t>4d10+20</t>
  </si>
  <si>
    <t>1d6+6</t>
  </si>
  <si>
    <t>1d20+10</t>
  </si>
  <si>
    <t>5d10+30</t>
  </si>
  <si>
    <t>1d12+32</t>
  </si>
  <si>
    <t>2d12+18</t>
  </si>
  <si>
    <t>2d20+25</t>
  </si>
  <si>
    <t>3d8+22</t>
  </si>
  <si>
    <t>2d12+23</t>
  </si>
  <si>
    <t>2d20+30</t>
  </si>
  <si>
    <t>2d12+54</t>
  </si>
  <si>
    <t>1d20+20</t>
  </si>
  <si>
    <t>3d12+60</t>
  </si>
  <si>
    <t>5d10+100</t>
  </si>
  <si>
    <t>особенное</t>
  </si>
  <si>
    <t>Бросок на ВН, слепота на 1d10 Раундов</t>
  </si>
  <si>
    <t>Заостроённый шест</t>
  </si>
  <si>
    <t>1d2</t>
  </si>
  <si>
    <t>Опутывание, Борсок на СЛ - выпутаться</t>
  </si>
  <si>
    <t>1d4+3+РУ</t>
  </si>
  <si>
    <t>1d4+2</t>
  </si>
  <si>
    <t>1d6</t>
  </si>
  <si>
    <t>1d12+8+огонь</t>
  </si>
  <si>
    <t>Перед использованием поджечь</t>
  </si>
  <si>
    <t>СЛ*2</t>
  </si>
  <si>
    <t>Создает облако непросматриваемого газа</t>
  </si>
  <si>
    <t>1d12+22</t>
  </si>
  <si>
    <t>1d8+6</t>
  </si>
  <si>
    <t>1d12+5+РУ</t>
  </si>
  <si>
    <t>5d10+40</t>
  </si>
  <si>
    <t xml:space="preserve"> +1d6 Оскол. в 1 гексе; +1d6 Ударн. в 2 гексах</t>
  </si>
  <si>
    <t xml:space="preserve"> +1/3 ОП в 1 гексе; +1d6 Ударн. в 2 гексах</t>
  </si>
  <si>
    <t>облако газа площадью 6 гексов</t>
  </si>
  <si>
    <t>обездвиживает в 2 гексах; +1d6 Ударн. в 2 гексах</t>
  </si>
  <si>
    <t>ослепление на 1d10 Раундов; +1d6 Ударн. в 2 гексах</t>
  </si>
  <si>
    <t>едкая кислота на 2 гекса в стороны; +1d6 Ударн. в 2 гексах</t>
  </si>
  <si>
    <t>1d12+22+огонь</t>
  </si>
  <si>
    <t xml:space="preserve"> +1d6 Оскол. в 1 гексе; +1d6 Ударн. в 2 гексах; огонь на 3 гекса</t>
  </si>
  <si>
    <t>только небиологические цели</t>
  </si>
  <si>
    <t>Пвр</t>
  </si>
  <si>
    <t>кол-во</t>
  </si>
  <si>
    <t>1d3</t>
  </si>
  <si>
    <t>3d4</t>
  </si>
  <si>
    <t>1d8</t>
  </si>
  <si>
    <t>Игнорирует СУ</t>
  </si>
  <si>
    <t>СП:</t>
  </si>
  <si>
    <t>ПРИМ.</t>
  </si>
  <si>
    <t>1d12</t>
  </si>
  <si>
    <t>2d20</t>
  </si>
  <si>
    <t>Небиологические цели</t>
  </si>
  <si>
    <t>3d10</t>
  </si>
  <si>
    <t>2d8</t>
  </si>
  <si>
    <t>Иглы Отравленные</t>
  </si>
  <si>
    <t>Яд типа G</t>
  </si>
  <si>
    <t>1d10 за Раунд в 10 Раундов</t>
  </si>
  <si>
    <t xml:space="preserve"> +1d6 Оскол.; +1d6 Ударн.</t>
  </si>
  <si>
    <t xml:space="preserve"> +1d6 Ударн.</t>
  </si>
  <si>
    <t>10d10 в 20м</t>
  </si>
  <si>
    <t>7d10 в 100м</t>
  </si>
  <si>
    <t>Потеря сознания в 100м</t>
  </si>
  <si>
    <t xml:space="preserve"> +1d6 Ударн. в 50м</t>
  </si>
  <si>
    <t>10d20 в 20м</t>
  </si>
  <si>
    <t>20d20 в 20м</t>
  </si>
  <si>
    <t>6d8</t>
  </si>
  <si>
    <t>6d6</t>
  </si>
  <si>
    <t>3d20</t>
  </si>
  <si>
    <t>от ЗРС</t>
  </si>
  <si>
    <t>3d8+огонь</t>
  </si>
  <si>
    <t>газ типа F</t>
  </si>
  <si>
    <t>Всем в 4м от струи</t>
  </si>
  <si>
    <t>от оружия</t>
  </si>
  <si>
    <t>Противотанковая мина Т45-СЕ</t>
  </si>
  <si>
    <t>Противопехотная мина Т13</t>
  </si>
  <si>
    <t>Цена</t>
  </si>
  <si>
    <t>Вес</t>
  </si>
  <si>
    <t>Л</t>
  </si>
  <si>
    <t>90</t>
  </si>
  <si>
    <t>10</t>
  </si>
  <si>
    <t>5</t>
  </si>
  <si>
    <t>0</t>
  </si>
  <si>
    <t>Пвр: 1d20+20</t>
  </si>
  <si>
    <t>Пвр: 3d20+20</t>
  </si>
  <si>
    <t>МС</t>
  </si>
  <si>
    <t>ВУ</t>
  </si>
  <si>
    <t>СТ</t>
  </si>
  <si>
    <t>РП</t>
  </si>
  <si>
    <t>МД</t>
  </si>
  <si>
    <t>ПМ</t>
  </si>
  <si>
    <t>ГП</t>
  </si>
  <si>
    <t>/х</t>
  </si>
  <si>
    <t>ЦК МОД.</t>
  </si>
  <si>
    <t xml:space="preserve"> /х</t>
  </si>
  <si>
    <t>Бак</t>
  </si>
  <si>
    <t>2 и 5</t>
  </si>
  <si>
    <t>8d10+40 в 10м</t>
  </si>
  <si>
    <t xml:space="preserve"> +1d6 Ударн. в 100м</t>
  </si>
  <si>
    <t>вождение</t>
  </si>
  <si>
    <t>15d20+30 в 15м</t>
  </si>
  <si>
    <t>20d20+50 в 20м</t>
  </si>
  <si>
    <t>20d20+50 в 25м</t>
  </si>
  <si>
    <t>1 км</t>
  </si>
  <si>
    <t>2 км</t>
  </si>
  <si>
    <t>3 км</t>
  </si>
  <si>
    <t>нн</t>
  </si>
  <si>
    <t>МЖ3; ЗРС ТОУ-II; 25мм пушка</t>
  </si>
  <si>
    <t>МЖ3 или АГС-17</t>
  </si>
  <si>
    <t>МЖ3; 20мм пушка</t>
  </si>
  <si>
    <t>2хМЖ3; 105мм М68</t>
  </si>
  <si>
    <t>2хМЖ3; РК "Армагеддон"</t>
  </si>
  <si>
    <t>2хМ2ХБ; ЗРС ТОУ-II; 120мм орудие</t>
  </si>
  <si>
    <t>Гоночные покрышки</t>
  </si>
  <si>
    <t>Окислитель топлива</t>
  </si>
  <si>
    <t>Усиленный кузов</t>
  </si>
  <si>
    <t>Топливный конвертер</t>
  </si>
  <si>
    <t>Антигравитационные пластины</t>
  </si>
  <si>
    <t>Тренога</t>
  </si>
  <si>
    <t>Приклад</t>
  </si>
  <si>
    <t>Глушитель</t>
  </si>
  <si>
    <t>Наращивание ствола</t>
  </si>
  <si>
    <t>Прицел ночного видения</t>
  </si>
  <si>
    <t>Оптический прицел</t>
  </si>
  <si>
    <t>Лазерный прицел</t>
  </si>
  <si>
    <t>Быстрозарядник</t>
  </si>
  <si>
    <t>Расширенный магазин</t>
  </si>
  <si>
    <t>Ловушка с сиреной</t>
  </si>
  <si>
    <t>Ловушка тихой тревоги</t>
  </si>
  <si>
    <t>Газовая ловушка</t>
  </si>
  <si>
    <t>Отравленные колья</t>
  </si>
  <si>
    <t>Яма с кольями</t>
  </si>
  <si>
    <t>Взрывающаяся ловушка</t>
  </si>
  <si>
    <t>Комбинированная ловушка</t>
  </si>
  <si>
    <t>Горчичный газ</t>
  </si>
  <si>
    <t>Перечный газ</t>
  </si>
  <si>
    <t>Кислотное облако</t>
  </si>
  <si>
    <t>Усыпляющий газ</t>
  </si>
  <si>
    <t>Тип А</t>
  </si>
  <si>
    <t>Тип В</t>
  </si>
  <si>
    <t>Тип С</t>
  </si>
  <si>
    <t>Тип D</t>
  </si>
  <si>
    <t>1d4 за Раунд</t>
  </si>
  <si>
    <t>2d4 за Раунд</t>
  </si>
  <si>
    <t>2d8 за Раунд</t>
  </si>
  <si>
    <t>3d10 за Раунд</t>
  </si>
  <si>
    <t>СЛ:</t>
  </si>
  <si>
    <t>ЗАРЯД:</t>
  </si>
  <si>
    <t>НИК ИГРОКА</t>
  </si>
  <si>
    <t>Состояние оружия</t>
  </si>
  <si>
    <t>1игрок</t>
  </si>
  <si>
    <t>2игрок</t>
  </si>
  <si>
    <t>3игрок</t>
  </si>
  <si>
    <t>4игрок</t>
  </si>
  <si>
    <t>5игрок</t>
  </si>
  <si>
    <t>6игрок</t>
  </si>
  <si>
    <t>7игрок</t>
  </si>
  <si>
    <t xml:space="preserve">Левая </t>
  </si>
  <si>
    <t>Правая</t>
  </si>
  <si>
    <t>АКТИВНО:</t>
  </si>
  <si>
    <t>да</t>
  </si>
  <si>
    <t>признак Умения</t>
  </si>
  <si>
    <t>Тип</t>
  </si>
  <si>
    <t>Активно</t>
  </si>
  <si>
    <t>БМП ЛАВ-150 СТ</t>
  </si>
  <si>
    <t>"Вождь индейцев"</t>
  </si>
  <si>
    <t>152мм РК"Армагеддон"</t>
  </si>
  <si>
    <t>/30</t>
  </si>
  <si>
    <t>/50</t>
  </si>
  <si>
    <t>/20</t>
  </si>
  <si>
    <t>/100</t>
  </si>
  <si>
    <t>/40</t>
  </si>
  <si>
    <t>/70</t>
  </si>
  <si>
    <t>Уже есть в комплекте брони</t>
  </si>
  <si>
    <t>Состояние брони</t>
  </si>
  <si>
    <t>ОЖ:</t>
  </si>
  <si>
    <t>ОО:</t>
  </si>
  <si>
    <t>ПД:</t>
  </si>
  <si>
    <t>КШ:</t>
  </si>
  <si>
    <t>СУ:</t>
  </si>
  <si>
    <t>СЯ:</t>
  </si>
  <si>
    <t>СР:</t>
  </si>
  <si>
    <t>СГ:</t>
  </si>
  <si>
    <t xml:space="preserve"> /</t>
  </si>
  <si>
    <t>Животные</t>
  </si>
  <si>
    <t>ОЖ</t>
  </si>
  <si>
    <t>ПД</t>
  </si>
  <si>
    <t>ОО</t>
  </si>
  <si>
    <t>КШ</t>
  </si>
  <si>
    <t>СЯ</t>
  </si>
  <si>
    <t>СР</t>
  </si>
  <si>
    <t>СГ</t>
  </si>
  <si>
    <t>Гигантская грыса</t>
  </si>
  <si>
    <t>Рад-крыса</t>
  </si>
  <si>
    <t>Громадная крыса</t>
  </si>
  <si>
    <t>Крысобог</t>
  </si>
  <si>
    <t>Небольшой крысокрот</t>
  </si>
  <si>
    <t>Крупный крысокрот</t>
  </si>
  <si>
    <t>Небольшой крысосвин</t>
  </si>
  <si>
    <t>Крупный крысосвин</t>
  </si>
  <si>
    <t>Атака1</t>
  </si>
  <si>
    <t>Атака2</t>
  </si>
  <si>
    <t>Гигантский таракан</t>
  </si>
  <si>
    <t>Тараканище</t>
  </si>
  <si>
    <t>Богомол</t>
  </si>
  <si>
    <t>Гигантская оса</t>
  </si>
  <si>
    <t>Брамин</t>
  </si>
  <si>
    <t>Плывун</t>
  </si>
  <si>
    <t>Слизняк</t>
  </si>
  <si>
    <t>Головоног</t>
  </si>
  <si>
    <t>Кентавр</t>
  </si>
  <si>
    <t>Небольшой радскорпион</t>
  </si>
  <si>
    <t>Крупный радскорпион</t>
  </si>
  <si>
    <t>Серый волк</t>
  </si>
  <si>
    <t>Саблезубый волк</t>
  </si>
  <si>
    <t>Койот</t>
  </si>
  <si>
    <t>Дикая собака</t>
  </si>
  <si>
    <t>Малый Коготь Смерти</t>
  </si>
  <si>
    <t>Охотник Коготь Смерти</t>
  </si>
  <si>
    <t>Воин Коготь Смерти</t>
  </si>
  <si>
    <t>Плюющийся цветок</t>
  </si>
  <si>
    <t>Геккон</t>
  </si>
  <si>
    <t>Огненный геккон</t>
  </si>
  <si>
    <t>Золотой геккон</t>
  </si>
  <si>
    <t>Комодский дракон</t>
  </si>
  <si>
    <t>Когти</t>
  </si>
  <si>
    <t>Укус</t>
  </si>
  <si>
    <t>ШнП</t>
  </si>
  <si>
    <t>Яд типа А</t>
  </si>
  <si>
    <t>Успешная атака +10 рад</t>
  </si>
  <si>
    <t>1d10+4</t>
  </si>
  <si>
    <t>Нет</t>
  </si>
  <si>
    <t>1d12+4</t>
  </si>
  <si>
    <t>Яд типа В</t>
  </si>
  <si>
    <t>2d4</t>
  </si>
  <si>
    <t>2d6</t>
  </si>
  <si>
    <t>Жвала</t>
  </si>
  <si>
    <t>2d10</t>
  </si>
  <si>
    <t>Плевок</t>
  </si>
  <si>
    <t>1d12+2</t>
  </si>
  <si>
    <t>Яд типа D</t>
  </si>
  <si>
    <t>2d12+4</t>
  </si>
  <si>
    <t>Яд типа Е</t>
  </si>
  <si>
    <t>Коготь</t>
  </si>
  <si>
    <t>Жало</t>
  </si>
  <si>
    <t>Рога</t>
  </si>
  <si>
    <t>Стебель</t>
  </si>
  <si>
    <t>3d8</t>
  </si>
  <si>
    <t>Молотильни</t>
  </si>
  <si>
    <t>Выпад</t>
  </si>
  <si>
    <t>1d20</t>
  </si>
  <si>
    <t>Хвост</t>
  </si>
  <si>
    <t>3d6</t>
  </si>
  <si>
    <t>Боднуть</t>
  </si>
  <si>
    <t>3d8+2</t>
  </si>
  <si>
    <t>3d10+2</t>
  </si>
  <si>
    <t>Шип</t>
  </si>
  <si>
    <t>Толчок</t>
  </si>
  <si>
    <t>1d8+2</t>
  </si>
  <si>
    <t>Челюсти</t>
  </si>
  <si>
    <t>итого</t>
  </si>
  <si>
    <t xml:space="preserve"> ----------------------Холодное оружие</t>
  </si>
  <si>
    <t xml:space="preserve"> -------------------Cтрелковое оружие</t>
  </si>
  <si>
    <t xml:space="preserve"> ------------Оружие для рукопашной</t>
  </si>
  <si>
    <t xml:space="preserve"> ----------------Пистолеты-пулемёты</t>
  </si>
  <si>
    <t xml:space="preserve"> -----------------Метательное оружие</t>
  </si>
  <si>
    <t xml:space="preserve"> ----------------------------Пистолеты</t>
  </si>
  <si>
    <t xml:space="preserve"> -----------------------------Дробовики</t>
  </si>
  <si>
    <t xml:space="preserve"> -------------------------------Винтовки</t>
  </si>
  <si>
    <t xml:space="preserve"> ------------------------------Автоматы</t>
  </si>
  <si>
    <t xml:space="preserve"> ------------------------------Пулемёты</t>
  </si>
  <si>
    <t xml:space="preserve"> ---------------------------Гранатомёт</t>
  </si>
  <si>
    <t xml:space="preserve"> -----------------Противотанковые</t>
  </si>
  <si>
    <t xml:space="preserve"> ------------------------------Огнемёты</t>
  </si>
  <si>
    <t xml:space="preserve"> --------------------Энергетическое</t>
  </si>
  <si>
    <t xml:space="preserve"> --------------------------------Техника</t>
  </si>
  <si>
    <t>Состояние шлема</t>
  </si>
  <si>
    <t>8d10+40 в 10м;+1d6 Уд.в 100м</t>
  </si>
  <si>
    <t>15d20+30 в 15м;+1d6 Уд.в 100м</t>
  </si>
  <si>
    <t>20d20+50 в 20м;+1d6 Уд.в 100м</t>
  </si>
  <si>
    <t>20d20+50 в 25м;+1d6 Уд.в 100м</t>
  </si>
  <si>
    <t>2хМ2ХБ;ЗРС ТОУ-II;120мм орудие</t>
  </si>
  <si>
    <t xml:space="preserve"> ---------------------------------Стимуляторы</t>
  </si>
  <si>
    <t xml:space="preserve"> ----------------------------------------Ловушки</t>
  </si>
  <si>
    <t xml:space="preserve"> ------------------------Модернизация оружия</t>
  </si>
  <si>
    <t xml:space="preserve"> ------------------------Модернизация техники</t>
  </si>
  <si>
    <t>Игрок2</t>
  </si>
  <si>
    <t>Игрок3</t>
  </si>
  <si>
    <t>Игрок4</t>
  </si>
  <si>
    <t>Игрок5</t>
  </si>
  <si>
    <t>Игрок6</t>
  </si>
  <si>
    <t>Игрок7</t>
  </si>
  <si>
    <t>2и15</t>
  </si>
  <si>
    <t>Используется только как прицеп</t>
  </si>
  <si>
    <t>УБИТО СУЩЕСТВ</t>
  </si>
  <si>
    <t>ИГРОК:</t>
  </si>
  <si>
    <t>БОЙ</t>
  </si>
  <si>
    <t>Действующий игрок</t>
  </si>
  <si>
    <t>АТАКА:</t>
  </si>
  <si>
    <t>Кто кого</t>
  </si>
  <si>
    <t>Кубики</t>
  </si>
  <si>
    <t>КУБИКИ:</t>
  </si>
  <si>
    <t>1d100</t>
  </si>
  <si>
    <t>Грани</t>
  </si>
  <si>
    <t>РЕЗУЛЬТАТ:</t>
  </si>
  <si>
    <t>ШнП:</t>
  </si>
  <si>
    <t>БАЗОВАЯ ВЕРОЯТНОСТЬ</t>
  </si>
  <si>
    <t>-</t>
  </si>
  <si>
    <t>Вид оружия</t>
  </si>
  <si>
    <t>хол</t>
  </si>
  <si>
    <t>рук</t>
  </si>
  <si>
    <t>лег</t>
  </si>
  <si>
    <t>тяж</t>
  </si>
  <si>
    <t>энер</t>
  </si>
  <si>
    <t>мет</t>
  </si>
  <si>
    <t>ДАЛЬНОСТЬ</t>
  </si>
  <si>
    <t>ОСВЕЩЁННОСТЬ</t>
  </si>
  <si>
    <t>СУЩЕСТВО:</t>
  </si>
  <si>
    <t>СПРАВОЧНО</t>
  </si>
  <si>
    <t>ПРЕПЯТСТВИЕ</t>
  </si>
  <si>
    <t>+</t>
  </si>
  <si>
    <t>ПРИЦЕЛЬНАЯ АТАКА</t>
  </si>
  <si>
    <t>БОНУС (ШТРАФ)</t>
  </si>
  <si>
    <t>=</t>
  </si>
  <si>
    <t>ОЧКИ ЖИЗНИ СУЩЕСТВ</t>
  </si>
  <si>
    <t>ПОВРЕЖДЕНИЕ:</t>
  </si>
  <si>
    <t>ФАКТИЧЕСКИЙ УРОН</t>
  </si>
  <si>
    <t>СНЯТИЕ УРОНА</t>
  </si>
  <si>
    <t>(</t>
  </si>
  <si>
    <t>)х</t>
  </si>
  <si>
    <t>СОПРОТИВЛЕНИЕ ПОВРЕЖДЕНИЮ</t>
  </si>
  <si>
    <t>х</t>
  </si>
  <si>
    <t>)-</t>
  </si>
  <si>
    <t>-(</t>
  </si>
  <si>
    <t>ШнП ИГРОКОВ</t>
  </si>
  <si>
    <t>АТАКА  1</t>
  </si>
  <si>
    <t>АТАКА  2</t>
  </si>
  <si>
    <t>А1 П</t>
  </si>
  <si>
    <t>А1 О</t>
  </si>
  <si>
    <t>А2 П</t>
  </si>
  <si>
    <t>А2 О</t>
  </si>
  <si>
    <t>Нокдаун, Бросок на ВН</t>
  </si>
  <si>
    <t>Нокдаун, Бросок на ЛВ</t>
  </si>
  <si>
    <t>ИСПОЛЬЗУЕТСЯ АТАКА:</t>
  </si>
  <si>
    <t>СУЩЕСТВО/НИП -&gt; ИГРОК</t>
  </si>
  <si>
    <t>ИГРОК -&gt; СУЩЕСТВО/НИП</t>
  </si>
  <si>
    <t>Атака существа</t>
  </si>
  <si>
    <t>уточнен.</t>
  </si>
  <si>
    <t>Не выбрано</t>
  </si>
  <si>
    <t>ДОМАШНИЕ ДОПОЛНЕНИЯ</t>
  </si>
  <si>
    <t>РАСА:</t>
  </si>
  <si>
    <t>ПРИЗНАК:</t>
  </si>
  <si>
    <t xml:space="preserve"> ----------------------------------Разное</t>
  </si>
  <si>
    <t>В ИНВЕНТАРЕ:</t>
  </si>
  <si>
    <t>ОБОЙМА:</t>
  </si>
  <si>
    <t xml:space="preserve"> --------------------Кислота</t>
  </si>
  <si>
    <t xml:space="preserve"> ---------------------------Газ</t>
  </si>
  <si>
    <t>Баллон с отравл. газом</t>
  </si>
  <si>
    <t>.50 УП (Урановое Покрыт.)</t>
  </si>
  <si>
    <t>Противопех. газ ТК-БМИ</t>
  </si>
  <si>
    <t xml:space="preserve"> -----------------------Разное</t>
  </si>
  <si>
    <t>СУЩЕСТВО 1</t>
  </si>
  <si>
    <t>СУЩЕСТВО 2</t>
  </si>
  <si>
    <t>ОРУЖИЕ 1</t>
  </si>
  <si>
    <t>ОРУЖИЕ 2</t>
  </si>
  <si>
    <t>БРОНЯ 1</t>
  </si>
  <si>
    <t>БРОНЯ 2</t>
  </si>
  <si>
    <t>:Н</t>
  </si>
  <si>
    <t>:Л</t>
  </si>
  <si>
    <t>:О</t>
  </si>
  <si>
    <t>:П</t>
  </si>
  <si>
    <t>:В</t>
  </si>
  <si>
    <t>ШЛЕМ 1</t>
  </si>
  <si>
    <t>ШЛЕМ 2</t>
  </si>
  <si>
    <t xml:space="preserve"> ----------------------------Разное</t>
  </si>
  <si>
    <t xml:space="preserve"> ---------------------------------Разное</t>
  </si>
  <si>
    <t>ЗАМЕТКИ</t>
  </si>
  <si>
    <t>СУЩЕСТВО/НИП/тип ВРАГА 1</t>
  </si>
  <si>
    <t>БОЕПРИПАСЫ</t>
  </si>
  <si>
    <t>СУЩЕСТВО/НИП/тип ВРАГА 2</t>
  </si>
  <si>
    <t>СУЩЕСТВО/НИП/тип ВРАГА 3</t>
  </si>
  <si>
    <t>СУЩЕСТВО/НИП/тип ВРАГА 4</t>
  </si>
  <si>
    <t>ЭНЕРГЕТ.</t>
  </si>
  <si>
    <t>РУКОПАШ.</t>
  </si>
  <si>
    <t>ХОЛОДН.</t>
  </si>
  <si>
    <t>МЕТАНИЕ</t>
  </si>
  <si>
    <t>ВОЖДЕН.</t>
  </si>
  <si>
    <t>ЛЁГКОЕ</t>
  </si>
  <si>
    <t>ТЯЖЁЛОЕ</t>
  </si>
  <si>
    <t>ПЕРВАЯ П.</t>
  </si>
  <si>
    <t>ПРИМЕТЫ</t>
  </si>
  <si>
    <t>БОНУСЫ</t>
  </si>
  <si>
    <t>Средние значения</t>
  </si>
  <si>
    <t>+ОЖ (СТАРТ)</t>
  </si>
  <si>
    <t>+ОЖ / УР.</t>
  </si>
  <si>
    <t>Оч.Ум./ УР.</t>
  </si>
  <si>
    <t>+РУ</t>
  </si>
  <si>
    <t>+СЭ</t>
  </si>
  <si>
    <t>+СЯ</t>
  </si>
  <si>
    <t>+СР</t>
  </si>
  <si>
    <t>+СГ</t>
  </si>
  <si>
    <t>УР./ НАВЫК</t>
  </si>
  <si>
    <t>Нормальное</t>
  </si>
  <si>
    <t>Наблюдательность</t>
  </si>
  <si>
    <t>Знает ОЖ и Оружие врага</t>
  </si>
  <si>
    <t xml:space="preserve"> +10% ко всем Умениям при старте, +5 Оч.Ум./ Ур., +1 к УР. / Навык</t>
  </si>
  <si>
    <t xml:space="preserve"> Доступность Уникума обозначена на листе "РАЗНОЕ"</t>
  </si>
  <si>
    <t>Быстрая реакция</t>
  </si>
  <si>
    <t xml:space="preserve"> +2 к ПД</t>
  </si>
  <si>
    <t>15*СЛ</t>
  </si>
  <si>
    <t>Ночное видение</t>
  </si>
  <si>
    <t xml:space="preserve"> -50% штрафвам за освещённость</t>
  </si>
  <si>
    <t>Призрак</t>
  </si>
  <si>
    <t xml:space="preserve"> +20% к Красться ночью или где темно</t>
  </si>
  <si>
    <t>Медицинская аптечка</t>
  </si>
  <si>
    <t xml:space="preserve"> +4 к РУ, -30% Критич. Пвр, -30% Шанс Нокдауна или Перелома</t>
  </si>
  <si>
    <t>Громадный таракан</t>
  </si>
  <si>
    <t>Гигантский муравей</t>
  </si>
  <si>
    <t>СУЩЕСТВО</t>
  </si>
  <si>
    <t>КТО УБИЛ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</si>
</sst>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</numFmts>
  <fonts count="21">
    <font>
      <sz val="10"/>
      <name val="Arial"/>
      <family val="0"/>
    </font>
    <font>
      <sz val="8"/>
      <name val="Tahoma"/>
      <family val="2"/>
    </font>
    <font>
      <sz val="2"/>
      <name val="Arial"/>
      <family val="2"/>
    </font>
    <font>
      <sz val="9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sz val="9"/>
      <name val="Arial Narrow"/>
      <family val="2"/>
    </font>
    <font>
      <b/>
      <sz val="9"/>
      <name val="Bookman Old Style"/>
      <family val="1"/>
    </font>
    <font>
      <b/>
      <sz val="14"/>
      <name val="Courier New"/>
      <family val="3"/>
    </font>
    <font>
      <sz val="10"/>
      <name val="Arial Cyr"/>
      <family val="0"/>
    </font>
    <font>
      <b/>
      <sz val="10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Bookman Old Style"/>
      <family val="1"/>
    </font>
    <font>
      <b/>
      <sz val="10"/>
      <name val="Arial Narrow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3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/>
      <protection/>
    </xf>
    <xf numFmtId="0" fontId="8" fillId="2" borderId="1" xfId="0" applyFont="1" applyFill="1" applyBorder="1" applyAlignment="1" applyProtection="1">
      <alignment horizontal="center"/>
      <protection/>
    </xf>
    <xf numFmtId="0" fontId="8" fillId="2" borderId="1" xfId="0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1" fontId="4" fillId="2" borderId="0" xfId="0" applyNumberFormat="1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/>
      <protection/>
    </xf>
    <xf numFmtId="0" fontId="3" fillId="2" borderId="8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 horizontal="left" vertical="center" indent="1"/>
      <protection/>
    </xf>
    <xf numFmtId="0" fontId="3" fillId="2" borderId="5" xfId="0" applyFont="1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 horizontal="left" indent="1"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left" indent="1"/>
      <protection/>
    </xf>
    <xf numFmtId="0" fontId="4" fillId="2" borderId="1" xfId="0" applyFont="1" applyFill="1" applyBorder="1" applyAlignment="1" applyProtection="1">
      <alignment horizontal="left" vertical="center" indent="1"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3" fillId="2" borderId="11" xfId="0" applyFont="1" applyFill="1" applyBorder="1" applyAlignment="1" applyProtection="1">
      <alignment/>
      <protection/>
    </xf>
    <xf numFmtId="0" fontId="3" fillId="2" borderId="12" xfId="0" applyFont="1" applyFill="1" applyBorder="1" applyAlignment="1" applyProtection="1">
      <alignment/>
      <protection/>
    </xf>
    <xf numFmtId="0" fontId="3" fillId="2" borderId="13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8" fillId="2" borderId="14" xfId="0" applyFont="1" applyFill="1" applyBorder="1" applyAlignment="1" applyProtection="1">
      <alignment horizontal="center"/>
      <protection/>
    </xf>
    <xf numFmtId="0" fontId="3" fillId="2" borderId="15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vertical="center" textRotation="90"/>
      <protection/>
    </xf>
    <xf numFmtId="0" fontId="8" fillId="2" borderId="10" xfId="0" applyFont="1" applyFill="1" applyBorder="1" applyAlignment="1" applyProtection="1">
      <alignment vertical="center" textRotation="90"/>
      <protection/>
    </xf>
    <xf numFmtId="0" fontId="3" fillId="2" borderId="16" xfId="0" applyFont="1" applyFill="1" applyBorder="1" applyAlignment="1" applyProtection="1">
      <alignment/>
      <protection/>
    </xf>
    <xf numFmtId="0" fontId="14" fillId="2" borderId="15" xfId="0" applyFont="1" applyFill="1" applyBorder="1" applyAlignment="1" applyProtection="1">
      <alignment horizontal="center"/>
      <protection/>
    </xf>
    <xf numFmtId="0" fontId="8" fillId="2" borderId="14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 horizontal="left"/>
      <protection/>
    </xf>
    <xf numFmtId="0" fontId="3" fillId="2" borderId="2" xfId="0" applyFont="1" applyFill="1" applyBorder="1" applyAlignment="1" applyProtection="1">
      <alignment horizontal="left"/>
      <protection/>
    </xf>
    <xf numFmtId="0" fontId="4" fillId="2" borderId="2" xfId="0" applyFont="1" applyFill="1" applyBorder="1" applyAlignment="1" applyProtection="1">
      <alignment horizontal="right"/>
      <protection/>
    </xf>
    <xf numFmtId="0" fontId="4" fillId="2" borderId="12" xfId="0" applyFont="1" applyFill="1" applyBorder="1" applyAlignment="1" applyProtection="1">
      <alignment horizontal="center"/>
      <protection/>
    </xf>
    <xf numFmtId="0" fontId="8" fillId="2" borderId="12" xfId="0" applyFont="1" applyFill="1" applyBorder="1" applyAlignment="1" applyProtection="1">
      <alignment horizontal="center"/>
      <protection/>
    </xf>
    <xf numFmtId="0" fontId="3" fillId="2" borderId="17" xfId="0" applyFont="1" applyFill="1" applyBorder="1" applyAlignment="1" applyProtection="1">
      <alignment/>
      <protection/>
    </xf>
    <xf numFmtId="0" fontId="3" fillId="2" borderId="18" xfId="0" applyFont="1" applyFill="1" applyBorder="1" applyAlignment="1" applyProtection="1">
      <alignment/>
      <protection/>
    </xf>
    <xf numFmtId="0" fontId="5" fillId="2" borderId="12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/>
      <protection/>
    </xf>
    <xf numFmtId="0" fontId="3" fillId="2" borderId="17" xfId="0" applyFont="1" applyFill="1" applyBorder="1" applyAlignment="1" applyProtection="1">
      <alignment horizontal="center"/>
      <protection/>
    </xf>
    <xf numFmtId="0" fontId="4" fillId="2" borderId="18" xfId="0" applyFont="1" applyFill="1" applyBorder="1" applyAlignment="1" applyProtection="1">
      <alignment horizontal="left" indent="1"/>
      <protection/>
    </xf>
    <xf numFmtId="0" fontId="8" fillId="2" borderId="12" xfId="0" applyFont="1" applyFill="1" applyBorder="1" applyAlignment="1" applyProtection="1">
      <alignment horizontal="left"/>
      <protection/>
    </xf>
    <xf numFmtId="0" fontId="3" fillId="2" borderId="19" xfId="0" applyFont="1" applyFill="1" applyBorder="1" applyAlignment="1" applyProtection="1">
      <alignment/>
      <protection/>
    </xf>
    <xf numFmtId="0" fontId="8" fillId="2" borderId="13" xfId="0" applyFont="1" applyFill="1" applyBorder="1" applyAlignment="1" applyProtection="1">
      <alignment horizontal="left"/>
      <protection/>
    </xf>
    <xf numFmtId="0" fontId="3" fillId="2" borderId="20" xfId="0" applyFont="1" applyFill="1" applyBorder="1" applyAlignment="1" applyProtection="1">
      <alignment/>
      <protection/>
    </xf>
    <xf numFmtId="0" fontId="8" fillId="2" borderId="21" xfId="0" applyFont="1" applyFill="1" applyBorder="1" applyAlignment="1" applyProtection="1">
      <alignment horizontal="left"/>
      <protection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3" fillId="2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16" fontId="0" fillId="0" borderId="0" xfId="0" applyNumberFormat="1" applyFill="1" applyBorder="1" applyAlignment="1" quotePrefix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9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0" fontId="16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/>
      <protection/>
    </xf>
    <xf numFmtId="0" fontId="16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2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2" borderId="23" xfId="0" applyFill="1" applyBorder="1" applyAlignment="1">
      <alignment/>
    </xf>
    <xf numFmtId="9" fontId="4" fillId="2" borderId="0" xfId="0" applyNumberFormat="1" applyFont="1" applyFill="1" applyBorder="1" applyAlignment="1" applyProtection="1">
      <alignment horizontal="center"/>
      <protection/>
    </xf>
    <xf numFmtId="9" fontId="8" fillId="2" borderId="0" xfId="0" applyNumberFormat="1" applyFont="1" applyFill="1" applyBorder="1" applyAlignment="1" applyProtection="1">
      <alignment horizontal="center"/>
      <protection/>
    </xf>
    <xf numFmtId="9" fontId="4" fillId="2" borderId="0" xfId="0" applyNumberFormat="1" applyFont="1" applyFill="1" applyBorder="1" applyAlignment="1" applyProtection="1">
      <alignment/>
      <protection/>
    </xf>
    <xf numFmtId="9" fontId="3" fillId="2" borderId="0" xfId="0" applyNumberFormat="1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 horizontal="left" vertical="center"/>
      <protection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24" xfId="0" applyFill="1" applyBorder="1" applyAlignment="1">
      <alignment/>
    </xf>
    <xf numFmtId="0" fontId="4" fillId="2" borderId="10" xfId="0" applyFont="1" applyFill="1" applyBorder="1" applyAlignment="1" applyProtection="1">
      <alignment horizontal="center"/>
      <protection/>
    </xf>
    <xf numFmtId="0" fontId="0" fillId="2" borderId="21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17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11" xfId="0" applyFill="1" applyBorder="1" applyAlignment="1">
      <alignment/>
    </xf>
    <xf numFmtId="9" fontId="4" fillId="2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/>
      <protection locked="0"/>
    </xf>
    <xf numFmtId="0" fontId="3" fillId="2" borderId="27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horizontal="center"/>
      <protection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left"/>
      <protection/>
    </xf>
    <xf numFmtId="49" fontId="12" fillId="2" borderId="11" xfId="0" applyNumberFormat="1" applyFont="1" applyFill="1" applyBorder="1" applyAlignment="1" applyProtection="1">
      <alignment horizontal="center" vertical="center"/>
      <protection/>
    </xf>
    <xf numFmtId="49" fontId="12" fillId="2" borderId="13" xfId="0" applyNumberFormat="1" applyFont="1" applyFill="1" applyBorder="1" applyAlignment="1" applyProtection="1">
      <alignment horizontal="center" vertical="center"/>
      <protection/>
    </xf>
    <xf numFmtId="49" fontId="12" fillId="2" borderId="0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4" fillId="2" borderId="21" xfId="0" applyNumberFormat="1" applyFont="1" applyFill="1" applyBorder="1" applyAlignment="1" applyProtection="1">
      <alignment horizontal="left" indent="1"/>
      <protection locked="0"/>
    </xf>
    <xf numFmtId="0" fontId="4" fillId="2" borderId="27" xfId="0" applyNumberFormat="1" applyFont="1" applyFill="1" applyBorder="1" applyAlignment="1" applyProtection="1">
      <alignment horizontal="left" indent="1"/>
      <protection locked="0"/>
    </xf>
    <xf numFmtId="0" fontId="4" fillId="2" borderId="10" xfId="0" applyNumberFormat="1" applyFont="1" applyFill="1" applyBorder="1" applyAlignment="1" applyProtection="1">
      <alignment horizontal="left" indent="1"/>
      <protection locked="0"/>
    </xf>
    <xf numFmtId="0" fontId="4" fillId="2" borderId="11" xfId="0" applyNumberFormat="1" applyFont="1" applyFill="1" applyBorder="1" applyAlignment="1" applyProtection="1">
      <alignment horizontal="left" indent="1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8" fillId="2" borderId="28" xfId="0" applyFont="1" applyFill="1" applyBorder="1" applyAlignment="1" applyProtection="1">
      <alignment horizontal="center"/>
      <protection/>
    </xf>
    <xf numFmtId="0" fontId="6" fillId="3" borderId="5" xfId="0" applyFont="1" applyFill="1" applyBorder="1" applyAlignment="1" applyProtection="1">
      <alignment horizontal="center" vertical="center"/>
      <protection/>
    </xf>
    <xf numFmtId="0" fontId="6" fillId="3" borderId="2" xfId="0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0" xfId="0" applyFont="1" applyFill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3" borderId="29" xfId="0" applyFont="1" applyFill="1" applyBorder="1" applyAlignment="1" applyProtection="1">
      <alignment/>
      <protection/>
    </xf>
    <xf numFmtId="0" fontId="8" fillId="3" borderId="30" xfId="0" applyFont="1" applyFill="1" applyBorder="1" applyAlignment="1" applyProtection="1">
      <alignment/>
      <protection/>
    </xf>
    <xf numFmtId="0" fontId="8" fillId="3" borderId="31" xfId="0" applyFont="1" applyFill="1" applyBorder="1" applyAlignment="1" applyProtection="1">
      <alignment/>
      <protection/>
    </xf>
    <xf numFmtId="0" fontId="8" fillId="3" borderId="32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2" borderId="12" xfId="0" applyNumberFormat="1" applyFont="1" applyFill="1" applyBorder="1" applyAlignment="1" applyProtection="1">
      <alignment horizontal="left" indent="1"/>
      <protection locked="0"/>
    </xf>
    <xf numFmtId="0" fontId="4" fillId="2" borderId="13" xfId="0" applyNumberFormat="1" applyFont="1" applyFill="1" applyBorder="1" applyAlignment="1" applyProtection="1">
      <alignment horizontal="left" indent="1"/>
      <protection locked="0"/>
    </xf>
    <xf numFmtId="0" fontId="6" fillId="3" borderId="3" xfId="0" applyFont="1" applyFill="1" applyBorder="1" applyAlignment="1" applyProtection="1">
      <alignment horizontal="center"/>
      <protection/>
    </xf>
    <xf numFmtId="0" fontId="6" fillId="3" borderId="4" xfId="0" applyFont="1" applyFill="1" applyBorder="1" applyAlignment="1" applyProtection="1">
      <alignment horizontal="center"/>
      <protection/>
    </xf>
    <xf numFmtId="0" fontId="6" fillId="3" borderId="7" xfId="0" applyFont="1" applyFill="1" applyBorder="1" applyAlignment="1" applyProtection="1">
      <alignment horizontal="center"/>
      <protection/>
    </xf>
    <xf numFmtId="0" fontId="6" fillId="3" borderId="5" xfId="0" applyFont="1" applyFill="1" applyBorder="1" applyAlignment="1" applyProtection="1">
      <alignment horizontal="center"/>
      <protection/>
    </xf>
    <xf numFmtId="0" fontId="6" fillId="3" borderId="2" xfId="0" applyFont="1" applyFill="1" applyBorder="1" applyAlignment="1" applyProtection="1">
      <alignment horizontal="center"/>
      <protection/>
    </xf>
    <xf numFmtId="0" fontId="6" fillId="3" borderId="9" xfId="0" applyFont="1" applyFill="1" applyBorder="1" applyAlignment="1" applyProtection="1">
      <alignment horizontal="center"/>
      <protection/>
    </xf>
    <xf numFmtId="0" fontId="4" fillId="2" borderId="27" xfId="0" applyFont="1" applyFill="1" applyBorder="1" applyAlignment="1" applyProtection="1">
      <alignment horizontal="left"/>
      <protection/>
    </xf>
    <xf numFmtId="0" fontId="4" fillId="2" borderId="21" xfId="0" applyFont="1" applyFill="1" applyBorder="1" applyAlignment="1" applyProtection="1">
      <alignment horizontal="left"/>
      <protection/>
    </xf>
    <xf numFmtId="0" fontId="4" fillId="2" borderId="11" xfId="0" applyFont="1" applyFill="1" applyBorder="1" applyAlignment="1" applyProtection="1">
      <alignment horizontal="left"/>
      <protection/>
    </xf>
    <xf numFmtId="0" fontId="4" fillId="2" borderId="13" xfId="0" applyFont="1" applyFill="1" applyBorder="1" applyAlignment="1" applyProtection="1">
      <alignment horizontal="left"/>
      <protection/>
    </xf>
    <xf numFmtId="0" fontId="4" fillId="0" borderId="27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8" fillId="2" borderId="20" xfId="0" applyFont="1" applyFill="1" applyBorder="1" applyAlignment="1" applyProtection="1">
      <alignment horizontal="center" vertical="center"/>
      <protection/>
    </xf>
    <xf numFmtId="0" fontId="8" fillId="2" borderId="19" xfId="0" applyFont="1" applyFill="1" applyBorder="1" applyAlignment="1" applyProtection="1">
      <alignment horizontal="center" vertical="center"/>
      <protection/>
    </xf>
    <xf numFmtId="0" fontId="8" fillId="2" borderId="15" xfId="0" applyFont="1" applyFill="1" applyBorder="1" applyAlignment="1" applyProtection="1">
      <alignment horizontal="center" vertical="center"/>
      <protection/>
    </xf>
    <xf numFmtId="0" fontId="8" fillId="2" borderId="16" xfId="0" applyFont="1" applyFill="1" applyBorder="1" applyAlignment="1" applyProtection="1">
      <alignment horizontal="center" vertical="center"/>
      <protection/>
    </xf>
    <xf numFmtId="0" fontId="8" fillId="2" borderId="21" xfId="0" applyFont="1" applyFill="1" applyBorder="1" applyAlignment="1" applyProtection="1">
      <alignment horizontal="center" vertical="center"/>
      <protection/>
    </xf>
    <xf numFmtId="0" fontId="8" fillId="2" borderId="13" xfId="0" applyFont="1" applyFill="1" applyBorder="1" applyAlignment="1" applyProtection="1">
      <alignment horizontal="center" vertical="center"/>
      <protection/>
    </xf>
    <xf numFmtId="0" fontId="8" fillId="2" borderId="20" xfId="0" applyFont="1" applyFill="1" applyBorder="1" applyAlignment="1" applyProtection="1">
      <alignment/>
      <protection/>
    </xf>
    <xf numFmtId="0" fontId="8" fillId="2" borderId="4" xfId="0" applyFont="1" applyFill="1" applyBorder="1" applyAlignment="1" applyProtection="1">
      <alignment/>
      <protection/>
    </xf>
    <xf numFmtId="0" fontId="8" fillId="2" borderId="15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13" fillId="2" borderId="28" xfId="0" applyFont="1" applyFill="1" applyBorder="1" applyAlignment="1" applyProtection="1">
      <alignment horizontal="left" vertical="top"/>
      <protection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2" borderId="28" xfId="0" applyFont="1" applyFill="1" applyBorder="1" applyAlignment="1" applyProtection="1">
      <alignment horizontal="center"/>
      <protection/>
    </xf>
    <xf numFmtId="0" fontId="4" fillId="2" borderId="27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21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8" fillId="2" borderId="27" xfId="0" applyFont="1" applyFill="1" applyBorder="1" applyAlignment="1" applyProtection="1">
      <alignment horizontal="left"/>
      <protection locked="0"/>
    </xf>
    <xf numFmtId="0" fontId="8" fillId="2" borderId="10" xfId="0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 applyProtection="1">
      <alignment horizontal="left"/>
      <protection locked="0"/>
    </xf>
    <xf numFmtId="0" fontId="8" fillId="2" borderId="21" xfId="0" applyFont="1" applyFill="1" applyBorder="1" applyAlignment="1" applyProtection="1">
      <alignment horizontal="left"/>
      <protection locked="0"/>
    </xf>
    <xf numFmtId="0" fontId="8" fillId="2" borderId="12" xfId="0" applyFont="1" applyFill="1" applyBorder="1" applyAlignment="1" applyProtection="1">
      <alignment horizontal="left"/>
      <protection locked="0"/>
    </xf>
    <xf numFmtId="0" fontId="8" fillId="2" borderId="13" xfId="0" applyFont="1" applyFill="1" applyBorder="1" applyAlignment="1" applyProtection="1">
      <alignment horizontal="left"/>
      <protection locked="0"/>
    </xf>
    <xf numFmtId="0" fontId="8" fillId="2" borderId="27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horizontal="left" vertical="center"/>
      <protection/>
    </xf>
    <xf numFmtId="0" fontId="8" fillId="2" borderId="11" xfId="0" applyFont="1" applyFill="1" applyBorder="1" applyAlignment="1" applyProtection="1">
      <alignment horizontal="left" vertical="center"/>
      <protection/>
    </xf>
    <xf numFmtId="0" fontId="8" fillId="2" borderId="15" xfId="0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8" fillId="2" borderId="16" xfId="0" applyFont="1" applyFill="1" applyBorder="1" applyAlignment="1" applyProtection="1">
      <alignment horizontal="left"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8" fillId="2" borderId="12" xfId="0" applyFont="1" applyFill="1" applyBorder="1" applyAlignment="1" applyProtection="1">
      <alignment horizontal="left" vertical="center"/>
      <protection/>
    </xf>
    <xf numFmtId="0" fontId="8" fillId="2" borderId="13" xfId="0" applyFont="1" applyFill="1" applyBorder="1" applyAlignment="1" applyProtection="1">
      <alignment horizontal="left" vertical="center"/>
      <protection/>
    </xf>
    <xf numFmtId="0" fontId="8" fillId="2" borderId="27" xfId="0" applyFont="1" applyFill="1" applyBorder="1" applyAlignment="1" applyProtection="1">
      <alignment horizontal="center" vertical="center"/>
      <protection/>
    </xf>
    <xf numFmtId="0" fontId="8" fillId="2" borderId="1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8" fillId="2" borderId="12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2" borderId="27" xfId="0" applyFont="1" applyFill="1" applyBorder="1" applyAlignment="1" applyProtection="1">
      <alignment horizontal="left" indent="1"/>
      <protection/>
    </xf>
    <xf numFmtId="0" fontId="4" fillId="2" borderId="10" xfId="0" applyFont="1" applyFill="1" applyBorder="1" applyAlignment="1" applyProtection="1">
      <alignment horizontal="left" indent="1"/>
      <protection/>
    </xf>
    <xf numFmtId="0" fontId="4" fillId="2" borderId="11" xfId="0" applyFont="1" applyFill="1" applyBorder="1" applyAlignment="1" applyProtection="1">
      <alignment horizontal="left" indent="1"/>
      <protection/>
    </xf>
    <xf numFmtId="0" fontId="4" fillId="2" borderId="21" xfId="0" applyFont="1" applyFill="1" applyBorder="1" applyAlignment="1" applyProtection="1">
      <alignment horizontal="left" indent="1"/>
      <protection/>
    </xf>
    <xf numFmtId="0" fontId="4" fillId="2" borderId="12" xfId="0" applyFont="1" applyFill="1" applyBorder="1" applyAlignment="1" applyProtection="1">
      <alignment horizontal="left" indent="1"/>
      <protection/>
    </xf>
    <xf numFmtId="0" fontId="4" fillId="2" borderId="13" xfId="0" applyFont="1" applyFill="1" applyBorder="1" applyAlignment="1" applyProtection="1">
      <alignment horizontal="left" indent="1"/>
      <protection/>
    </xf>
    <xf numFmtId="0" fontId="3" fillId="0" borderId="28" xfId="0" applyFont="1" applyFill="1" applyBorder="1" applyAlignment="1" applyProtection="1">
      <alignment/>
      <protection locked="0"/>
    </xf>
    <xf numFmtId="0" fontId="6" fillId="3" borderId="20" xfId="0" applyFont="1" applyFill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15" xfId="0" applyFont="1" applyFill="1" applyBorder="1" applyAlignment="1" applyProtection="1">
      <alignment horizontal="center" vertical="center"/>
      <protection/>
    </xf>
    <xf numFmtId="0" fontId="6" fillId="3" borderId="0" xfId="0" applyFont="1" applyFill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" xfId="0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left"/>
      <protection locked="0"/>
    </xf>
    <xf numFmtId="0" fontId="3" fillId="0" borderId="28" xfId="0" applyFont="1" applyFill="1" applyBorder="1" applyAlignment="1" applyProtection="1">
      <alignment horizontal="left"/>
      <protection locked="0"/>
    </xf>
    <xf numFmtId="0" fontId="7" fillId="2" borderId="33" xfId="0" applyFont="1" applyFill="1" applyBorder="1" applyAlignment="1" applyProtection="1">
      <alignment horizontal="right" vertical="center"/>
      <protection/>
    </xf>
    <xf numFmtId="0" fontId="4" fillId="0" borderId="28" xfId="0" applyFont="1" applyFill="1" applyBorder="1" applyAlignment="1" applyProtection="1">
      <alignment horizontal="right"/>
      <protection locked="0"/>
    </xf>
    <xf numFmtId="0" fontId="8" fillId="2" borderId="10" xfId="0" applyFont="1" applyFill="1" applyBorder="1" applyAlignment="1" applyProtection="1">
      <alignment horizontal="right"/>
      <protection/>
    </xf>
    <xf numFmtId="0" fontId="8" fillId="2" borderId="11" xfId="0" applyFont="1" applyFill="1" applyBorder="1" applyAlignment="1" applyProtection="1">
      <alignment horizontal="right"/>
      <protection/>
    </xf>
    <xf numFmtId="0" fontId="8" fillId="2" borderId="12" xfId="0" applyFont="1" applyFill="1" applyBorder="1" applyAlignment="1" applyProtection="1">
      <alignment horizontal="right"/>
      <protection/>
    </xf>
    <xf numFmtId="0" fontId="8" fillId="2" borderId="13" xfId="0" applyFont="1" applyFill="1" applyBorder="1" applyAlignment="1" applyProtection="1">
      <alignment horizontal="right"/>
      <protection/>
    </xf>
    <xf numFmtId="0" fontId="5" fillId="2" borderId="28" xfId="0" applyFont="1" applyFill="1" applyBorder="1" applyAlignment="1" applyProtection="1">
      <alignment horizontal="right"/>
      <protection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8" fillId="3" borderId="3" xfId="0" applyFont="1" applyFill="1" applyBorder="1" applyAlignment="1" applyProtection="1">
      <alignment vertical="center"/>
      <protection/>
    </xf>
    <xf numFmtId="0" fontId="8" fillId="3" borderId="4" xfId="0" applyFont="1" applyFill="1" applyBorder="1" applyAlignment="1" applyProtection="1">
      <alignment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8" fillId="3" borderId="1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0" fontId="8" fillId="3" borderId="2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8" fillId="2" borderId="28" xfId="0" applyFont="1" applyFill="1" applyBorder="1" applyAlignment="1" applyProtection="1">
      <alignment horizontal="center" vertical="center" wrapText="1"/>
      <protection/>
    </xf>
    <xf numFmtId="0" fontId="4" fillId="2" borderId="28" xfId="0" applyFont="1" applyFill="1" applyBorder="1" applyAlignment="1" applyProtection="1">
      <alignment horizontal="right"/>
      <protection/>
    </xf>
    <xf numFmtId="0" fontId="4" fillId="2" borderId="6" xfId="0" applyFont="1" applyFill="1" applyBorder="1" applyAlignment="1" applyProtection="1">
      <alignment horizontal="right" vertical="center"/>
      <protection/>
    </xf>
    <xf numFmtId="0" fontId="4" fillId="2" borderId="28" xfId="0" applyFont="1" applyFill="1" applyBorder="1" applyAlignment="1" applyProtection="1">
      <alignment horizontal="right" vertical="center"/>
      <protection/>
    </xf>
    <xf numFmtId="0" fontId="4" fillId="2" borderId="15" xfId="0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right" vertical="center"/>
      <protection/>
    </xf>
    <xf numFmtId="0" fontId="4" fillId="2" borderId="16" xfId="0" applyFont="1" applyFill="1" applyBorder="1" applyAlignment="1" applyProtection="1">
      <alignment horizontal="right" vertical="center"/>
      <protection/>
    </xf>
    <xf numFmtId="0" fontId="4" fillId="2" borderId="21" xfId="0" applyFont="1" applyFill="1" applyBorder="1" applyAlignment="1" applyProtection="1">
      <alignment horizontal="right" vertical="center"/>
      <protection/>
    </xf>
    <xf numFmtId="0" fontId="4" fillId="2" borderId="12" xfId="0" applyFont="1" applyFill="1" applyBorder="1" applyAlignment="1" applyProtection="1">
      <alignment horizontal="right" vertical="center"/>
      <protection/>
    </xf>
    <xf numFmtId="0" fontId="4" fillId="2" borderId="13" xfId="0" applyFont="1" applyFill="1" applyBorder="1" applyAlignment="1" applyProtection="1">
      <alignment horizontal="right" vertical="center"/>
      <protection/>
    </xf>
    <xf numFmtId="0" fontId="7" fillId="2" borderId="14" xfId="0" applyFont="1" applyFill="1" applyBorder="1" applyAlignment="1" applyProtection="1">
      <alignment horizontal="right" vertical="center"/>
      <protection/>
    </xf>
    <xf numFmtId="0" fontId="7" fillId="2" borderId="6" xfId="0" applyFont="1" applyFill="1" applyBorder="1" applyAlignment="1" applyProtection="1">
      <alignment horizontal="right" vertical="center"/>
      <protection/>
    </xf>
    <xf numFmtId="0" fontId="3" fillId="2" borderId="15" xfId="0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3" fillId="2" borderId="16" xfId="0" applyFont="1" applyFill="1" applyBorder="1" applyAlignment="1" applyProtection="1">
      <alignment horizontal="left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12" xfId="0" applyFont="1" applyFill="1" applyBorder="1" applyAlignment="1" applyProtection="1">
      <alignment horizontal="left" vertical="center"/>
      <protection/>
    </xf>
    <xf numFmtId="0" fontId="3" fillId="2" borderId="13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16" xfId="0" applyFont="1" applyFill="1" applyBorder="1" applyAlignment="1" applyProtection="1">
      <alignment horizontal="right" vertical="center"/>
      <protection locked="0"/>
    </xf>
    <xf numFmtId="0" fontId="4" fillId="0" borderId="21" xfId="0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8" fillId="3" borderId="3" xfId="0" applyFont="1" applyFill="1" applyBorder="1" applyAlignment="1" applyProtection="1">
      <alignment/>
      <protection/>
    </xf>
    <xf numFmtId="0" fontId="8" fillId="3" borderId="4" xfId="0" applyFont="1" applyFill="1" applyBorder="1" applyAlignment="1" applyProtection="1">
      <alignment/>
      <protection/>
    </xf>
    <xf numFmtId="0" fontId="8" fillId="3" borderId="7" xfId="0" applyFont="1" applyFill="1" applyBorder="1" applyAlignment="1" applyProtection="1">
      <alignment/>
      <protection/>
    </xf>
    <xf numFmtId="0" fontId="8" fillId="3" borderId="5" xfId="0" applyFont="1" applyFill="1" applyBorder="1" applyAlignment="1" applyProtection="1">
      <alignment/>
      <protection/>
    </xf>
    <xf numFmtId="0" fontId="8" fillId="3" borderId="2" xfId="0" applyFont="1" applyFill="1" applyBorder="1" applyAlignment="1" applyProtection="1">
      <alignment/>
      <protection/>
    </xf>
    <xf numFmtId="0" fontId="8" fillId="3" borderId="9" xfId="0" applyFont="1" applyFill="1" applyBorder="1" applyAlignment="1" applyProtection="1">
      <alignment/>
      <protection/>
    </xf>
    <xf numFmtId="0" fontId="8" fillId="2" borderId="27" xfId="0" applyFont="1" applyFill="1" applyBorder="1" applyAlignment="1" applyProtection="1">
      <alignment horizontal="center"/>
      <protection/>
    </xf>
    <xf numFmtId="0" fontId="8" fillId="2" borderId="10" xfId="0" applyFont="1" applyFill="1" applyBorder="1" applyAlignment="1" applyProtection="1">
      <alignment horizontal="center"/>
      <protection/>
    </xf>
    <xf numFmtId="0" fontId="8" fillId="2" borderId="21" xfId="0" applyFont="1" applyFill="1" applyBorder="1" applyAlignment="1" applyProtection="1">
      <alignment horizontal="center"/>
      <protection/>
    </xf>
    <xf numFmtId="0" fontId="8" fillId="2" borderId="12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right" vertical="center"/>
      <protection locked="0"/>
    </xf>
    <xf numFmtId="0" fontId="7" fillId="2" borderId="28" xfId="0" applyFont="1" applyFill="1" applyBorder="1" applyAlignment="1" applyProtection="1">
      <alignment horizontal="right" vertical="center"/>
      <protection/>
    </xf>
    <xf numFmtId="0" fontId="3" fillId="2" borderId="28" xfId="0" applyFont="1" applyFill="1" applyBorder="1" applyAlignment="1" applyProtection="1">
      <alignment horizontal="left" vertical="center"/>
      <protection/>
    </xf>
    <xf numFmtId="0" fontId="8" fillId="2" borderId="6" xfId="0" applyFont="1" applyFill="1" applyBorder="1" applyAlignment="1" applyProtection="1">
      <alignment horizontal="left"/>
      <protection/>
    </xf>
    <xf numFmtId="0" fontId="8" fillId="2" borderId="32" xfId="0" applyFont="1" applyFill="1" applyBorder="1" applyAlignment="1" applyProtection="1">
      <alignment horizontal="left"/>
      <protection/>
    </xf>
    <xf numFmtId="0" fontId="8" fillId="2" borderId="34" xfId="0" applyFont="1" applyFill="1" applyBorder="1" applyAlignment="1" applyProtection="1">
      <alignment horizontal="left"/>
      <protection/>
    </xf>
    <xf numFmtId="0" fontId="8" fillId="2" borderId="31" xfId="0" applyFont="1" applyFill="1" applyBorder="1" applyAlignment="1" applyProtection="1">
      <alignment horizontal="left"/>
      <protection/>
    </xf>
    <xf numFmtId="0" fontId="4" fillId="2" borderId="27" xfId="0" applyNumberFormat="1" applyFont="1" applyFill="1" applyBorder="1" applyAlignment="1" applyProtection="1">
      <alignment horizontal="center"/>
      <protection/>
    </xf>
    <xf numFmtId="0" fontId="4" fillId="2" borderId="11" xfId="0" applyNumberFormat="1" applyFont="1" applyFill="1" applyBorder="1" applyAlignment="1" applyProtection="1">
      <alignment horizontal="center"/>
      <protection/>
    </xf>
    <xf numFmtId="0" fontId="4" fillId="2" borderId="21" xfId="0" applyNumberFormat="1" applyFont="1" applyFill="1" applyBorder="1" applyAlignment="1" applyProtection="1">
      <alignment horizontal="center"/>
      <protection/>
    </xf>
    <xf numFmtId="0" fontId="4" fillId="2" borderId="13" xfId="0" applyNumberFormat="1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/>
    </xf>
    <xf numFmtId="0" fontId="8" fillId="2" borderId="13" xfId="0" applyFont="1" applyFill="1" applyBorder="1" applyAlignment="1" applyProtection="1">
      <alignment horizontal="center"/>
      <protection/>
    </xf>
    <xf numFmtId="0" fontId="3" fillId="2" borderId="27" xfId="0" applyFont="1" applyFill="1" applyBorder="1" applyAlignment="1" applyProtection="1">
      <alignment horizontal="left"/>
      <protection/>
    </xf>
    <xf numFmtId="0" fontId="3" fillId="2" borderId="10" xfId="0" applyFont="1" applyFill="1" applyBorder="1" applyAlignment="1" applyProtection="1">
      <alignment horizontal="left"/>
      <protection/>
    </xf>
    <xf numFmtId="0" fontId="3" fillId="2" borderId="11" xfId="0" applyFont="1" applyFill="1" applyBorder="1" applyAlignment="1" applyProtection="1">
      <alignment horizontal="left"/>
      <protection/>
    </xf>
    <xf numFmtId="0" fontId="3" fillId="2" borderId="21" xfId="0" applyFont="1" applyFill="1" applyBorder="1" applyAlignment="1" applyProtection="1">
      <alignment horizontal="left"/>
      <protection/>
    </xf>
    <xf numFmtId="0" fontId="3" fillId="2" borderId="12" xfId="0" applyFont="1" applyFill="1" applyBorder="1" applyAlignment="1" applyProtection="1">
      <alignment horizontal="left"/>
      <protection/>
    </xf>
    <xf numFmtId="0" fontId="3" fillId="2" borderId="13" xfId="0" applyFont="1" applyFill="1" applyBorder="1" applyAlignment="1" applyProtection="1">
      <alignment horizontal="left"/>
      <protection/>
    </xf>
    <xf numFmtId="0" fontId="4" fillId="2" borderId="27" xfId="0" applyFont="1" applyFill="1" applyBorder="1" applyAlignment="1" applyProtection="1">
      <alignment horizontal="center"/>
      <protection/>
    </xf>
    <xf numFmtId="0" fontId="4" fillId="2" borderId="10" xfId="0" applyFont="1" applyFill="1" applyBorder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 horizontal="center"/>
      <protection/>
    </xf>
    <xf numFmtId="0" fontId="4" fillId="2" borderId="21" xfId="0" applyFont="1" applyFill="1" applyBorder="1" applyAlignment="1" applyProtection="1">
      <alignment horizontal="center"/>
      <protection/>
    </xf>
    <xf numFmtId="0" fontId="4" fillId="2" borderId="12" xfId="0" applyFont="1" applyFill="1" applyBorder="1" applyAlignment="1" applyProtection="1">
      <alignment horizontal="center"/>
      <protection/>
    </xf>
    <xf numFmtId="0" fontId="4" fillId="2" borderId="13" xfId="0" applyFont="1" applyFill="1" applyBorder="1" applyAlignment="1" applyProtection="1">
      <alignment horizontal="center"/>
      <protection/>
    </xf>
    <xf numFmtId="0" fontId="8" fillId="2" borderId="15" xfId="0" applyFont="1" applyFill="1" applyBorder="1" applyAlignment="1" applyProtection="1">
      <alignment horizontal="center" vertical="center" textRotation="90"/>
      <protection/>
    </xf>
    <xf numFmtId="0" fontId="8" fillId="2" borderId="16" xfId="0" applyFont="1" applyFill="1" applyBorder="1" applyAlignment="1" applyProtection="1">
      <alignment horizontal="center" vertical="center" textRotation="90"/>
      <protection/>
    </xf>
    <xf numFmtId="0" fontId="8" fillId="2" borderId="21" xfId="0" applyFont="1" applyFill="1" applyBorder="1" applyAlignment="1" applyProtection="1">
      <alignment horizontal="center" vertical="center" textRotation="90"/>
      <protection/>
    </xf>
    <xf numFmtId="0" fontId="8" fillId="2" borderId="13" xfId="0" applyFont="1" applyFill="1" applyBorder="1" applyAlignment="1" applyProtection="1">
      <alignment horizontal="center" vertical="center" textRotation="90"/>
      <protection/>
    </xf>
    <xf numFmtId="0" fontId="13" fillId="2" borderId="6" xfId="0" applyFont="1" applyFill="1" applyBorder="1" applyAlignment="1" applyProtection="1">
      <alignment horizontal="left" vertical="top"/>
      <protection/>
    </xf>
    <xf numFmtId="9" fontId="4" fillId="2" borderId="10" xfId="0" applyNumberFormat="1" applyFont="1" applyFill="1" applyBorder="1" applyAlignment="1" applyProtection="1">
      <alignment horizontal="right"/>
      <protection/>
    </xf>
    <xf numFmtId="9" fontId="4" fillId="2" borderId="11" xfId="0" applyNumberFormat="1" applyFont="1" applyFill="1" applyBorder="1" applyAlignment="1" applyProtection="1">
      <alignment horizontal="right"/>
      <protection/>
    </xf>
    <xf numFmtId="9" fontId="4" fillId="2" borderId="12" xfId="0" applyNumberFormat="1" applyFont="1" applyFill="1" applyBorder="1" applyAlignment="1" applyProtection="1">
      <alignment horizontal="right"/>
      <protection/>
    </xf>
    <xf numFmtId="9" fontId="4" fillId="2" borderId="13" xfId="0" applyNumberFormat="1" applyFont="1" applyFill="1" applyBorder="1" applyAlignment="1" applyProtection="1">
      <alignment horizontal="right"/>
      <protection/>
    </xf>
    <xf numFmtId="0" fontId="4" fillId="2" borderId="35" xfId="0" applyFont="1" applyFill="1" applyBorder="1" applyAlignment="1" applyProtection="1">
      <alignment horizontal="right"/>
      <protection/>
    </xf>
    <xf numFmtId="0" fontId="6" fillId="3" borderId="29" xfId="0" applyFont="1" applyFill="1" applyBorder="1" applyAlignment="1" applyProtection="1">
      <alignment horizontal="center"/>
      <protection/>
    </xf>
    <xf numFmtId="0" fontId="6" fillId="3" borderId="30" xfId="0" applyFont="1" applyFill="1" applyBorder="1" applyAlignment="1" applyProtection="1">
      <alignment horizontal="center"/>
      <protection/>
    </xf>
    <xf numFmtId="0" fontId="6" fillId="3" borderId="36" xfId="0" applyFont="1" applyFill="1" applyBorder="1" applyAlignment="1" applyProtection="1">
      <alignment horizontal="center"/>
      <protection/>
    </xf>
    <xf numFmtId="0" fontId="6" fillId="3" borderId="31" xfId="0" applyFont="1" applyFill="1" applyBorder="1" applyAlignment="1" applyProtection="1">
      <alignment horizontal="center"/>
      <protection/>
    </xf>
    <xf numFmtId="0" fontId="6" fillId="3" borderId="32" xfId="0" applyFont="1" applyFill="1" applyBorder="1" applyAlignment="1" applyProtection="1">
      <alignment horizontal="center"/>
      <protection/>
    </xf>
    <xf numFmtId="0" fontId="6" fillId="3" borderId="37" xfId="0" applyFont="1" applyFill="1" applyBorder="1" applyAlignment="1" applyProtection="1">
      <alignment horizontal="center"/>
      <protection/>
    </xf>
    <xf numFmtId="0" fontId="8" fillId="2" borderId="6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right"/>
      <protection/>
    </xf>
    <xf numFmtId="9" fontId="4" fillId="0" borderId="10" xfId="0" applyNumberFormat="1" applyFont="1" applyFill="1" applyBorder="1" applyAlignment="1" applyProtection="1">
      <alignment horizontal="right"/>
      <protection locked="0"/>
    </xf>
    <xf numFmtId="9" fontId="4" fillId="0" borderId="11" xfId="0" applyNumberFormat="1" applyFont="1" applyFill="1" applyBorder="1" applyAlignment="1" applyProtection="1">
      <alignment horizontal="right"/>
      <protection locked="0"/>
    </xf>
    <xf numFmtId="9" fontId="4" fillId="0" borderId="12" xfId="0" applyNumberFormat="1" applyFont="1" applyFill="1" applyBorder="1" applyAlignment="1" applyProtection="1">
      <alignment horizontal="right"/>
      <protection locked="0"/>
    </xf>
    <xf numFmtId="9" fontId="4" fillId="0" borderId="13" xfId="0" applyNumberFormat="1" applyFont="1" applyFill="1" applyBorder="1" applyAlignment="1" applyProtection="1">
      <alignment horizontal="right"/>
      <protection locked="0"/>
    </xf>
    <xf numFmtId="0" fontId="8" fillId="2" borderId="15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8" fillId="2" borderId="16" xfId="0" applyFont="1" applyFill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right"/>
      <protection locked="0"/>
    </xf>
    <xf numFmtId="0" fontId="4" fillId="2" borderId="33" xfId="0" applyFont="1" applyFill="1" applyBorder="1" applyAlignment="1" applyProtection="1">
      <alignment horizontal="right"/>
      <protection/>
    </xf>
    <xf numFmtId="0" fontId="15" fillId="2" borderId="6" xfId="0" applyFont="1" applyFill="1" applyBorder="1" applyAlignment="1" applyProtection="1">
      <alignment horizontal="center"/>
      <protection/>
    </xf>
    <xf numFmtId="0" fontId="15" fillId="2" borderId="32" xfId="0" applyFont="1" applyFill="1" applyBorder="1" applyAlignment="1" applyProtection="1">
      <alignment horizontal="center"/>
      <protection/>
    </xf>
    <xf numFmtId="0" fontId="15" fillId="2" borderId="38" xfId="0" applyFont="1" applyFill="1" applyBorder="1" applyAlignment="1" applyProtection="1">
      <alignment horizontal="center"/>
      <protection/>
    </xf>
    <xf numFmtId="0" fontId="15" fillId="2" borderId="37" xfId="0" applyFont="1" applyFill="1" applyBorder="1" applyAlignment="1" applyProtection="1">
      <alignment horizontal="center"/>
      <protection/>
    </xf>
    <xf numFmtId="0" fontId="6" fillId="3" borderId="39" xfId="0" applyFont="1" applyFill="1" applyBorder="1" applyAlignment="1" applyProtection="1">
      <alignment horizontal="center"/>
      <protection/>
    </xf>
    <xf numFmtId="0" fontId="6" fillId="3" borderId="28" xfId="0" applyFont="1" applyFill="1" applyBorder="1" applyAlignment="1" applyProtection="1">
      <alignment horizontal="center"/>
      <protection/>
    </xf>
    <xf numFmtId="0" fontId="6" fillId="3" borderId="40" xfId="0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 applyProtection="1">
      <alignment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8" fillId="2" borderId="28" xfId="0" applyFont="1" applyFill="1" applyBorder="1" applyAlignment="1" applyProtection="1">
      <alignment horizontal="left"/>
      <protection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5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left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3" fillId="2" borderId="28" xfId="0" applyFont="1" applyFill="1" applyBorder="1" applyAlignment="1" applyProtection="1">
      <alignment/>
      <protection/>
    </xf>
    <xf numFmtId="0" fontId="8" fillId="2" borderId="39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center"/>
      <protection/>
    </xf>
    <xf numFmtId="0" fontId="8" fillId="2" borderId="7" xfId="0" applyFont="1" applyFill="1" applyBorder="1" applyAlignment="1" applyProtection="1" quotePrefix="1">
      <alignment horizontal="center"/>
      <protection/>
    </xf>
    <xf numFmtId="0" fontId="8" fillId="2" borderId="5" xfId="0" applyFont="1" applyFill="1" applyBorder="1" applyAlignment="1" applyProtection="1" quotePrefix="1">
      <alignment horizontal="center"/>
      <protection/>
    </xf>
    <xf numFmtId="0" fontId="8" fillId="2" borderId="9" xfId="0" applyFont="1" applyFill="1" applyBorder="1" applyAlignment="1" applyProtection="1" quotePrefix="1">
      <alignment horizontal="center"/>
      <protection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/>
      <protection/>
    </xf>
    <xf numFmtId="0" fontId="12" fillId="2" borderId="7" xfId="0" applyFont="1" applyFill="1" applyBorder="1" applyAlignment="1" applyProtection="1" quotePrefix="1">
      <alignment horizontal="center"/>
      <protection/>
    </xf>
    <xf numFmtId="0" fontId="12" fillId="2" borderId="5" xfId="0" applyFont="1" applyFill="1" applyBorder="1" applyAlignment="1" applyProtection="1" quotePrefix="1">
      <alignment horizontal="center"/>
      <protection/>
    </xf>
    <xf numFmtId="0" fontId="12" fillId="2" borderId="9" xfId="0" applyFont="1" applyFill="1" applyBorder="1" applyAlignment="1" applyProtection="1" quotePrefix="1">
      <alignment horizontal="center"/>
      <protection/>
    </xf>
    <xf numFmtId="0" fontId="15" fillId="3" borderId="29" xfId="0" applyFont="1" applyFill="1" applyBorder="1" applyAlignment="1" applyProtection="1">
      <alignment horizontal="center" vertical="center"/>
      <protection/>
    </xf>
    <xf numFmtId="0" fontId="15" fillId="3" borderId="30" xfId="0" applyFont="1" applyFill="1" applyBorder="1" applyAlignment="1" applyProtection="1">
      <alignment horizontal="center" vertical="center"/>
      <protection/>
    </xf>
    <xf numFmtId="0" fontId="15" fillId="3" borderId="31" xfId="0" applyFont="1" applyFill="1" applyBorder="1" applyAlignment="1" applyProtection="1">
      <alignment horizontal="center" vertical="center"/>
      <protection/>
    </xf>
    <xf numFmtId="0" fontId="15" fillId="3" borderId="32" xfId="0" applyFont="1" applyFill="1" applyBorder="1" applyAlignment="1" applyProtection="1">
      <alignment horizontal="center" vertical="center"/>
      <protection/>
    </xf>
    <xf numFmtId="0" fontId="12" fillId="3" borderId="29" xfId="0" applyFont="1" applyFill="1" applyBorder="1" applyAlignment="1" applyProtection="1">
      <alignment horizontal="center"/>
      <protection/>
    </xf>
    <xf numFmtId="0" fontId="12" fillId="3" borderId="30" xfId="0" applyFont="1" applyFill="1" applyBorder="1" applyAlignment="1" applyProtection="1">
      <alignment horizontal="center"/>
      <protection/>
    </xf>
    <xf numFmtId="0" fontId="12" fillId="3" borderId="36" xfId="0" applyFont="1" applyFill="1" applyBorder="1" applyAlignment="1" applyProtection="1">
      <alignment horizontal="center"/>
      <protection/>
    </xf>
    <xf numFmtId="0" fontId="12" fillId="3" borderId="31" xfId="0" applyFont="1" applyFill="1" applyBorder="1" applyAlignment="1" applyProtection="1">
      <alignment horizontal="center"/>
      <protection/>
    </xf>
    <xf numFmtId="0" fontId="12" fillId="3" borderId="32" xfId="0" applyFont="1" applyFill="1" applyBorder="1" applyAlignment="1" applyProtection="1">
      <alignment horizontal="center"/>
      <protection/>
    </xf>
    <xf numFmtId="0" fontId="12" fillId="3" borderId="37" xfId="0" applyFont="1" applyFill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2" borderId="28" xfId="0" applyFont="1" applyFill="1" applyBorder="1" applyAlignment="1" applyProtection="1">
      <alignment horizontal="center"/>
      <protection/>
    </xf>
    <xf numFmtId="1" fontId="5" fillId="2" borderId="6" xfId="0" applyNumberFormat="1" applyFont="1" applyFill="1" applyBorder="1" applyAlignment="1" applyProtection="1">
      <alignment horizontal="center"/>
      <protection/>
    </xf>
    <xf numFmtId="1" fontId="5" fillId="2" borderId="28" xfId="0" applyNumberFormat="1" applyFont="1" applyFill="1" applyBorder="1" applyAlignment="1" applyProtection="1">
      <alignment horizontal="center"/>
      <protection/>
    </xf>
    <xf numFmtId="0" fontId="9" fillId="2" borderId="6" xfId="0" applyFont="1" applyFill="1" applyBorder="1" applyAlignment="1" applyProtection="1">
      <alignment horizontal="center" vertical="center" textRotation="90"/>
      <protection/>
    </xf>
    <xf numFmtId="0" fontId="9" fillId="2" borderId="28" xfId="0" applyFont="1" applyFill="1" applyBorder="1" applyAlignment="1" applyProtection="1">
      <alignment horizontal="center" vertical="center" textRotation="90"/>
      <protection/>
    </xf>
    <xf numFmtId="1" fontId="4" fillId="2" borderId="28" xfId="0" applyNumberFormat="1" applyFont="1" applyFill="1" applyBorder="1" applyAlignment="1" applyProtection="1">
      <alignment horizontal="center"/>
      <protection/>
    </xf>
    <xf numFmtId="0" fontId="4" fillId="0" borderId="28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/>
    </xf>
    <xf numFmtId="0" fontId="4" fillId="2" borderId="32" xfId="0" applyFont="1" applyFill="1" applyBorder="1" applyAlignment="1" applyProtection="1">
      <alignment horizontal="center"/>
      <protection/>
    </xf>
    <xf numFmtId="0" fontId="4" fillId="2" borderId="37" xfId="0" applyFont="1" applyFill="1" applyBorder="1" applyAlignment="1" applyProtection="1">
      <alignment horizontal="center"/>
      <protection/>
    </xf>
    <xf numFmtId="0" fontId="12" fillId="2" borderId="4" xfId="0" applyFont="1" applyFill="1" applyBorder="1" applyAlignment="1" applyProtection="1">
      <alignment horizontal="center"/>
      <protection/>
    </xf>
    <xf numFmtId="0" fontId="12" fillId="2" borderId="5" xfId="0" applyFont="1" applyFill="1" applyBorder="1" applyAlignment="1" applyProtection="1">
      <alignment horizontal="center"/>
      <protection/>
    </xf>
    <xf numFmtId="0" fontId="12" fillId="2" borderId="2" xfId="0" applyFont="1" applyFill="1" applyBorder="1" applyAlignment="1" applyProtection="1">
      <alignment horizontal="center"/>
      <protection/>
    </xf>
    <xf numFmtId="0" fontId="4" fillId="2" borderId="15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16" xfId="0" applyFont="1" applyFill="1" applyBorder="1" applyAlignment="1" applyProtection="1">
      <alignment horizontal="center"/>
      <protection/>
    </xf>
    <xf numFmtId="0" fontId="8" fillId="3" borderId="29" xfId="0" applyFont="1" applyFill="1" applyBorder="1" applyAlignment="1" applyProtection="1">
      <alignment horizontal="center"/>
      <protection/>
    </xf>
    <xf numFmtId="0" fontId="8" fillId="3" borderId="30" xfId="0" applyFont="1" applyFill="1" applyBorder="1" applyAlignment="1" applyProtection="1">
      <alignment horizontal="center"/>
      <protection/>
    </xf>
    <xf numFmtId="0" fontId="8" fillId="3" borderId="36" xfId="0" applyFont="1" applyFill="1" applyBorder="1" applyAlignment="1" applyProtection="1">
      <alignment horizontal="center"/>
      <protection/>
    </xf>
    <xf numFmtId="0" fontId="8" fillId="3" borderId="31" xfId="0" applyFont="1" applyFill="1" applyBorder="1" applyAlignment="1" applyProtection="1">
      <alignment horizontal="center"/>
      <protection/>
    </xf>
    <xf numFmtId="0" fontId="8" fillId="3" borderId="32" xfId="0" applyFont="1" applyFill="1" applyBorder="1" applyAlignment="1" applyProtection="1">
      <alignment horizontal="center"/>
      <protection/>
    </xf>
    <xf numFmtId="0" fontId="8" fillId="3" borderId="37" xfId="0" applyFont="1" applyFill="1" applyBorder="1" applyAlignment="1" applyProtection="1">
      <alignment horizontal="center"/>
      <protection/>
    </xf>
    <xf numFmtId="0" fontId="12" fillId="2" borderId="29" xfId="0" applyFont="1" applyFill="1" applyBorder="1" applyAlignment="1" applyProtection="1">
      <alignment horizontal="center"/>
      <protection/>
    </xf>
    <xf numFmtId="0" fontId="12" fillId="2" borderId="30" xfId="0" applyFont="1" applyFill="1" applyBorder="1" applyAlignment="1" applyProtection="1">
      <alignment horizontal="center"/>
      <protection/>
    </xf>
    <xf numFmtId="0" fontId="12" fillId="2" borderId="31" xfId="0" applyFont="1" applyFill="1" applyBorder="1" applyAlignment="1" applyProtection="1">
      <alignment horizontal="center"/>
      <protection/>
    </xf>
    <xf numFmtId="0" fontId="12" fillId="2" borderId="32" xfId="0" applyFont="1" applyFill="1" applyBorder="1" applyAlignment="1" applyProtection="1">
      <alignment horizontal="center"/>
      <protection/>
    </xf>
    <xf numFmtId="0" fontId="12" fillId="2" borderId="30" xfId="0" applyFont="1" applyFill="1" applyBorder="1" applyAlignment="1" applyProtection="1" quotePrefix="1">
      <alignment horizontal="center"/>
      <protection/>
    </xf>
    <xf numFmtId="0" fontId="12" fillId="2" borderId="36" xfId="0" applyFont="1" applyFill="1" applyBorder="1" applyAlignment="1" applyProtection="1" quotePrefix="1">
      <alignment horizontal="center"/>
      <protection/>
    </xf>
    <xf numFmtId="0" fontId="12" fillId="2" borderId="32" xfId="0" applyFont="1" applyFill="1" applyBorder="1" applyAlignment="1" applyProtection="1" quotePrefix="1">
      <alignment horizontal="center"/>
      <protection/>
    </xf>
    <xf numFmtId="0" fontId="12" fillId="2" borderId="37" xfId="0" applyFont="1" applyFill="1" applyBorder="1" applyAlignment="1" applyProtection="1" quotePrefix="1">
      <alignment horizontal="center"/>
      <protection/>
    </xf>
    <xf numFmtId="0" fontId="8" fillId="2" borderId="39" xfId="0" applyFont="1" applyFill="1" applyBorder="1" applyAlignment="1" applyProtection="1">
      <alignment horizontal="center"/>
      <protection/>
    </xf>
    <xf numFmtId="0" fontId="8" fillId="2" borderId="31" xfId="0" applyFont="1" applyFill="1" applyBorder="1" applyAlignment="1" applyProtection="1">
      <alignment horizontal="center"/>
      <protection/>
    </xf>
    <xf numFmtId="0" fontId="8" fillId="2" borderId="32" xfId="0" applyFont="1" applyFill="1" applyBorder="1" applyAlignment="1" applyProtection="1">
      <alignment horizontal="center"/>
      <protection/>
    </xf>
    <xf numFmtId="0" fontId="4" fillId="2" borderId="38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13" fillId="2" borderId="28" xfId="0" applyFont="1" applyFill="1" applyBorder="1" applyAlignment="1" applyProtection="1">
      <alignment horizont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3" fillId="2" borderId="28" xfId="0" applyFont="1" applyFill="1" applyBorder="1" applyAlignment="1" applyProtection="1">
      <alignment horizontal="center" vertical="center"/>
      <protection/>
    </xf>
    <xf numFmtId="0" fontId="12" fillId="3" borderId="4" xfId="0" applyFont="1" applyFill="1" applyBorder="1" applyAlignment="1" applyProtection="1">
      <alignment horizontal="center"/>
      <protection/>
    </xf>
    <xf numFmtId="0" fontId="12" fillId="3" borderId="7" xfId="0" applyFont="1" applyFill="1" applyBorder="1" applyAlignment="1" applyProtection="1">
      <alignment horizontal="center"/>
      <protection/>
    </xf>
    <xf numFmtId="0" fontId="12" fillId="3" borderId="2" xfId="0" applyFont="1" applyFill="1" applyBorder="1" applyAlignment="1" applyProtection="1">
      <alignment horizontal="center"/>
      <protection/>
    </xf>
    <xf numFmtId="0" fontId="12" fillId="3" borderId="9" xfId="0" applyFont="1" applyFill="1" applyBorder="1" applyAlignment="1" applyProtection="1">
      <alignment horizontal="center"/>
      <protection/>
    </xf>
    <xf numFmtId="1" fontId="4" fillId="2" borderId="6" xfId="0" applyNumberFormat="1" applyFont="1" applyFill="1" applyBorder="1" applyAlignment="1" applyProtection="1">
      <alignment horizontal="center"/>
      <protection/>
    </xf>
    <xf numFmtId="0" fontId="12" fillId="2" borderId="20" xfId="0" applyFont="1" applyFill="1" applyBorder="1" applyAlignment="1" applyProtection="1" quotePrefix="1">
      <alignment horizontal="center"/>
      <protection/>
    </xf>
    <xf numFmtId="0" fontId="12" fillId="2" borderId="22" xfId="0" applyFont="1" applyFill="1" applyBorder="1" applyAlignment="1" applyProtection="1" quotePrefix="1">
      <alignment horizontal="center"/>
      <protection/>
    </xf>
    <xf numFmtId="0" fontId="4" fillId="0" borderId="6" xfId="0" applyNumberFormat="1" applyFont="1" applyFill="1" applyBorder="1" applyAlignment="1" applyProtection="1">
      <alignment horizontal="center"/>
      <protection locked="0"/>
    </xf>
    <xf numFmtId="9" fontId="13" fillId="2" borderId="28" xfId="17" applyFont="1" applyFill="1" applyBorder="1" applyAlignment="1" applyProtection="1">
      <alignment horizontal="center"/>
      <protection/>
    </xf>
    <xf numFmtId="0" fontId="4" fillId="2" borderId="41" xfId="0" applyFont="1" applyFill="1" applyBorder="1" applyAlignment="1" applyProtection="1">
      <alignment horizontal="center"/>
      <protection/>
    </xf>
    <xf numFmtId="0" fontId="8" fillId="3" borderId="28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left"/>
      <protection locked="0"/>
    </xf>
    <xf numFmtId="0" fontId="8" fillId="2" borderId="26" xfId="0" applyFont="1" applyFill="1" applyBorder="1" applyAlignment="1" applyProtection="1">
      <alignment horizontal="center"/>
      <protection/>
    </xf>
    <xf numFmtId="0" fontId="8" fillId="2" borderId="17" xfId="0" applyFont="1" applyFill="1" applyBorder="1" applyAlignment="1" applyProtection="1">
      <alignment horizontal="center"/>
      <protection/>
    </xf>
    <xf numFmtId="0" fontId="12" fillId="3" borderId="3" xfId="0" applyFont="1" applyFill="1" applyBorder="1" applyAlignment="1" applyProtection="1">
      <alignment horizontal="center"/>
      <protection/>
    </xf>
    <xf numFmtId="0" fontId="12" fillId="3" borderId="19" xfId="0" applyFont="1" applyFill="1" applyBorder="1" applyAlignment="1" applyProtection="1">
      <alignment horizontal="center"/>
      <protection/>
    </xf>
    <xf numFmtId="0" fontId="12" fillId="3" borderId="5" xfId="0" applyFont="1" applyFill="1" applyBorder="1" applyAlignment="1" applyProtection="1">
      <alignment horizontal="center"/>
      <protection/>
    </xf>
    <xf numFmtId="0" fontId="12" fillId="3" borderId="24" xfId="0" applyFont="1" applyFill="1" applyBorder="1" applyAlignment="1" applyProtection="1">
      <alignment horizontal="center"/>
      <protection/>
    </xf>
    <xf numFmtId="0" fontId="8" fillId="2" borderId="1" xfId="0" applyFont="1" applyFill="1" applyBorder="1" applyAlignment="1" applyProtection="1">
      <alignment horizontal="center"/>
      <protection/>
    </xf>
    <xf numFmtId="0" fontId="4" fillId="2" borderId="25" xfId="0" applyFont="1" applyFill="1" applyBorder="1" applyAlignment="1" applyProtection="1">
      <alignment horizontal="center"/>
      <protection/>
    </xf>
    <xf numFmtId="0" fontId="4" fillId="2" borderId="18" xfId="0" applyFont="1" applyFill="1" applyBorder="1" applyAlignment="1" applyProtection="1">
      <alignment horizontal="center"/>
      <protection/>
    </xf>
    <xf numFmtId="9" fontId="4" fillId="0" borderId="28" xfId="0" applyNumberFormat="1" applyFont="1" applyFill="1" applyBorder="1" applyAlignment="1" applyProtection="1">
      <alignment horizontal="center"/>
      <protection locked="0"/>
    </xf>
    <xf numFmtId="49" fontId="4" fillId="0" borderId="28" xfId="0" applyNumberFormat="1" applyFont="1" applyFill="1" applyBorder="1" applyAlignment="1" applyProtection="1">
      <alignment horizontal="center"/>
      <protection locked="0"/>
    </xf>
    <xf numFmtId="9" fontId="4" fillId="2" borderId="28" xfId="0" applyNumberFormat="1" applyFont="1" applyFill="1" applyBorder="1" applyAlignment="1" applyProtection="1">
      <alignment horizontal="center"/>
      <protection/>
    </xf>
    <xf numFmtId="9" fontId="4" fillId="2" borderId="40" xfId="0" applyNumberFormat="1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 horizontal="left" vertical="center"/>
      <protection/>
    </xf>
    <xf numFmtId="0" fontId="4" fillId="0" borderId="6" xfId="0" applyFont="1" applyFill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8" fillId="3" borderId="29" xfId="0" applyFont="1" applyFill="1" applyBorder="1" applyAlignment="1" applyProtection="1">
      <alignment horizontal="center" vertical="center"/>
      <protection/>
    </xf>
    <xf numFmtId="0" fontId="8" fillId="3" borderId="30" xfId="0" applyFont="1" applyFill="1" applyBorder="1" applyAlignment="1" applyProtection="1">
      <alignment horizontal="center" vertical="center"/>
      <protection/>
    </xf>
    <xf numFmtId="0" fontId="8" fillId="3" borderId="36" xfId="0" applyFont="1" applyFill="1" applyBorder="1" applyAlignment="1" applyProtection="1">
      <alignment horizontal="center" vertical="center"/>
      <protection/>
    </xf>
    <xf numFmtId="0" fontId="8" fillId="3" borderId="39" xfId="0" applyFont="1" applyFill="1" applyBorder="1" applyAlignment="1" applyProtection="1">
      <alignment horizontal="center" vertical="center"/>
      <protection/>
    </xf>
    <xf numFmtId="0" fontId="8" fillId="3" borderId="28" xfId="0" applyFont="1" applyFill="1" applyBorder="1" applyAlignment="1" applyProtection="1">
      <alignment horizontal="center" vertical="center"/>
      <protection/>
    </xf>
    <xf numFmtId="0" fontId="8" fillId="3" borderId="40" xfId="0" applyFont="1" applyFill="1" applyBorder="1" applyAlignment="1" applyProtection="1">
      <alignment horizontal="center" vertical="center"/>
      <protection/>
    </xf>
    <xf numFmtId="0" fontId="8" fillId="3" borderId="31" xfId="0" applyFont="1" applyFill="1" applyBorder="1" applyAlignment="1" applyProtection="1">
      <alignment horizontal="center" vertical="center"/>
      <protection/>
    </xf>
    <xf numFmtId="0" fontId="8" fillId="3" borderId="32" xfId="0" applyFont="1" applyFill="1" applyBorder="1" applyAlignment="1" applyProtection="1">
      <alignment horizontal="center" vertical="center"/>
      <protection/>
    </xf>
    <xf numFmtId="0" fontId="8" fillId="3" borderId="37" xfId="0" applyFont="1" applyFill="1" applyBorder="1" applyAlignment="1" applyProtection="1">
      <alignment horizontal="center" vertical="center"/>
      <protection/>
    </xf>
    <xf numFmtId="0" fontId="4" fillId="4" borderId="33" xfId="0" applyFont="1" applyFill="1" applyBorder="1" applyAlignment="1" applyProtection="1">
      <alignment vertical="center"/>
      <protection/>
    </xf>
    <xf numFmtId="0" fontId="4" fillId="4" borderId="28" xfId="0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28" xfId="0" applyFont="1" applyFill="1" applyBorder="1" applyAlignment="1" applyProtection="1">
      <alignment horizontal="left" vertical="center"/>
      <protection locked="0"/>
    </xf>
    <xf numFmtId="49" fontId="12" fillId="2" borderId="28" xfId="0" applyNumberFormat="1" applyFont="1" applyFill="1" applyBorder="1" applyAlignment="1" applyProtection="1">
      <alignment horizontal="center" vertical="center"/>
      <protection/>
    </xf>
    <xf numFmtId="0" fontId="7" fillId="4" borderId="6" xfId="0" applyFont="1" applyFill="1" applyBorder="1" applyAlignment="1" applyProtection="1">
      <alignment horizontal="left"/>
      <protection locked="0"/>
    </xf>
    <xf numFmtId="0" fontId="7" fillId="4" borderId="28" xfId="0" applyFont="1" applyFill="1" applyBorder="1" applyAlignment="1" applyProtection="1">
      <alignment horizontal="left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>
      <alignment/>
    </xf>
    <xf numFmtId="9" fontId="4" fillId="4" borderId="27" xfId="0" applyNumberFormat="1" applyFont="1" applyFill="1" applyBorder="1" applyAlignment="1" applyProtection="1">
      <alignment horizontal="center" vertical="center"/>
      <protection locked="0"/>
    </xf>
    <xf numFmtId="9" fontId="4" fillId="4" borderId="10" xfId="0" applyNumberFormat="1" applyFont="1" applyFill="1" applyBorder="1" applyAlignment="1" applyProtection="1">
      <alignment horizontal="center" vertical="center"/>
      <protection locked="0"/>
    </xf>
    <xf numFmtId="9" fontId="4" fillId="4" borderId="11" xfId="0" applyNumberFormat="1" applyFont="1" applyFill="1" applyBorder="1" applyAlignment="1" applyProtection="1">
      <alignment horizontal="center" vertical="center"/>
      <protection locked="0"/>
    </xf>
    <xf numFmtId="9" fontId="4" fillId="4" borderId="21" xfId="0" applyNumberFormat="1" applyFont="1" applyFill="1" applyBorder="1" applyAlignment="1" applyProtection="1">
      <alignment horizontal="center" vertical="center"/>
      <protection locked="0"/>
    </xf>
    <xf numFmtId="9" fontId="4" fillId="4" borderId="12" xfId="0" applyNumberFormat="1" applyFont="1" applyFill="1" applyBorder="1" applyAlignment="1" applyProtection="1">
      <alignment horizontal="center" vertical="center"/>
      <protection locked="0"/>
    </xf>
    <xf numFmtId="9" fontId="4" fillId="4" borderId="13" xfId="0" applyNumberFormat="1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 applyProtection="1">
      <alignment horizontal="right"/>
      <protection locked="0"/>
    </xf>
    <xf numFmtId="0" fontId="4" fillId="4" borderId="35" xfId="0" applyFont="1" applyFill="1" applyBorder="1" applyAlignment="1" applyProtection="1">
      <alignment horizontal="right"/>
      <protection locked="0"/>
    </xf>
    <xf numFmtId="9" fontId="4" fillId="4" borderId="10" xfId="0" applyNumberFormat="1" applyFont="1" applyFill="1" applyBorder="1" applyAlignment="1" applyProtection="1">
      <alignment horizontal="right"/>
      <protection locked="0"/>
    </xf>
    <xf numFmtId="9" fontId="4" fillId="4" borderId="11" xfId="0" applyNumberFormat="1" applyFont="1" applyFill="1" applyBorder="1" applyAlignment="1" applyProtection="1">
      <alignment horizontal="right"/>
      <protection locked="0"/>
    </xf>
    <xf numFmtId="9" fontId="4" fillId="4" borderId="12" xfId="0" applyNumberFormat="1" applyFont="1" applyFill="1" applyBorder="1" applyAlignment="1" applyProtection="1">
      <alignment horizontal="right"/>
      <protection locked="0"/>
    </xf>
    <xf numFmtId="9" fontId="4" fillId="4" borderId="13" xfId="0" applyNumberFormat="1" applyFont="1" applyFill="1" applyBorder="1" applyAlignment="1" applyProtection="1">
      <alignment horizontal="right"/>
      <protection locked="0"/>
    </xf>
    <xf numFmtId="49" fontId="4" fillId="4" borderId="28" xfId="0" applyNumberFormat="1" applyFont="1" applyFill="1" applyBorder="1" applyAlignment="1" applyProtection="1">
      <alignment horizontal="center"/>
      <protection locked="0"/>
    </xf>
    <xf numFmtId="0" fontId="4" fillId="4" borderId="28" xfId="0" applyNumberFormat="1" applyFont="1" applyFill="1" applyBorder="1" applyAlignment="1" applyProtection="1">
      <alignment horizontal="center"/>
      <protection locked="0"/>
    </xf>
    <xf numFmtId="0" fontId="12" fillId="2" borderId="28" xfId="0" applyFont="1" applyFill="1" applyBorder="1" applyAlignment="1" applyProtection="1">
      <alignment horizontal="center"/>
      <protection/>
    </xf>
    <xf numFmtId="0" fontId="4" fillId="4" borderId="13" xfId="0" applyFont="1" applyFill="1" applyBorder="1" applyAlignment="1" applyProtection="1">
      <alignment horizontal="right"/>
      <protection locked="0"/>
    </xf>
    <xf numFmtId="0" fontId="4" fillId="4" borderId="21" xfId="0" applyFont="1" applyFill="1" applyBorder="1" applyAlignment="1" applyProtection="1">
      <alignment horizontal="right"/>
      <protection locked="0"/>
    </xf>
    <xf numFmtId="9" fontId="4" fillId="4" borderId="0" xfId="0" applyNumberFormat="1" applyFont="1" applyFill="1" applyBorder="1" applyAlignment="1" applyProtection="1">
      <alignment horizontal="right"/>
      <protection locked="0"/>
    </xf>
    <xf numFmtId="9" fontId="4" fillId="4" borderId="16" xfId="0" applyNumberFormat="1" applyFont="1" applyFill="1" applyBorder="1" applyAlignment="1" applyProtection="1">
      <alignment horizontal="right"/>
      <protection locked="0"/>
    </xf>
    <xf numFmtId="0" fontId="7" fillId="4" borderId="27" xfId="0" applyFont="1" applyFill="1" applyBorder="1" applyAlignment="1" applyProtection="1">
      <alignment horizontal="left"/>
      <protection locked="0"/>
    </xf>
    <xf numFmtId="0" fontId="7" fillId="4" borderId="10" xfId="0" applyFont="1" applyFill="1" applyBorder="1" applyAlignment="1" applyProtection="1">
      <alignment horizontal="left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0" fontId="7" fillId="4" borderId="21" xfId="0" applyFont="1" applyFill="1" applyBorder="1" applyAlignment="1" applyProtection="1">
      <alignment horizontal="left"/>
      <protection locked="0"/>
    </xf>
    <xf numFmtId="0" fontId="7" fillId="4" borderId="12" xfId="0" applyFont="1" applyFill="1" applyBorder="1" applyAlignment="1" applyProtection="1">
      <alignment horizontal="left"/>
      <protection locked="0"/>
    </xf>
    <xf numFmtId="0" fontId="7" fillId="4" borderId="13" xfId="0" applyFont="1" applyFill="1" applyBorder="1" applyAlignment="1" applyProtection="1">
      <alignment horizontal="left"/>
      <protection locked="0"/>
    </xf>
    <xf numFmtId="0" fontId="7" fillId="4" borderId="15" xfId="0" applyFont="1" applyFill="1" applyBorder="1" applyAlignment="1" applyProtection="1">
      <alignment horizontal="left"/>
      <protection locked="0"/>
    </xf>
    <xf numFmtId="0" fontId="7" fillId="4" borderId="0" xfId="0" applyFont="1" applyFill="1" applyBorder="1" applyAlignment="1" applyProtection="1">
      <alignment horizontal="left"/>
      <protection locked="0"/>
    </xf>
    <xf numFmtId="0" fontId="7" fillId="4" borderId="16" xfId="0" applyFont="1" applyFill="1" applyBorder="1" applyAlignment="1" applyProtection="1">
      <alignment horizontal="left"/>
      <protection locked="0"/>
    </xf>
    <xf numFmtId="49" fontId="3" fillId="4" borderId="27" xfId="0" applyNumberFormat="1" applyFont="1" applyFill="1" applyBorder="1" applyAlignment="1" applyProtection="1">
      <alignment horizontal="left"/>
      <protection locked="0"/>
    </xf>
    <xf numFmtId="49" fontId="3" fillId="4" borderId="10" xfId="0" applyNumberFormat="1" applyFont="1" applyFill="1" applyBorder="1" applyAlignment="1" applyProtection="1">
      <alignment horizontal="left"/>
      <protection locked="0"/>
    </xf>
    <xf numFmtId="49" fontId="3" fillId="4" borderId="11" xfId="0" applyNumberFormat="1" applyFont="1" applyFill="1" applyBorder="1" applyAlignment="1" applyProtection="1">
      <alignment horizontal="left"/>
      <protection locked="0"/>
    </xf>
    <xf numFmtId="49" fontId="3" fillId="4" borderId="21" xfId="0" applyNumberFormat="1" applyFont="1" applyFill="1" applyBorder="1" applyAlignment="1" applyProtection="1">
      <alignment horizontal="left"/>
      <protection locked="0"/>
    </xf>
    <xf numFmtId="49" fontId="3" fillId="4" borderId="12" xfId="0" applyNumberFormat="1" applyFont="1" applyFill="1" applyBorder="1" applyAlignment="1" applyProtection="1">
      <alignment horizontal="left"/>
      <protection locked="0"/>
    </xf>
    <xf numFmtId="49" fontId="3" fillId="4" borderId="13" xfId="0" applyNumberFormat="1" applyFont="1" applyFill="1" applyBorder="1" applyAlignment="1" applyProtection="1">
      <alignment horizontal="left"/>
      <protection locked="0"/>
    </xf>
    <xf numFmtId="0" fontId="4" fillId="4" borderId="28" xfId="0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left"/>
      <protection locked="0"/>
    </xf>
    <xf numFmtId="0" fontId="4" fillId="4" borderId="11" xfId="0" applyFont="1" applyFill="1" applyBorder="1" applyAlignment="1" applyProtection="1">
      <alignment horizontal="left"/>
      <protection locked="0"/>
    </xf>
    <xf numFmtId="0" fontId="4" fillId="4" borderId="21" xfId="0" applyFont="1" applyFill="1" applyBorder="1" applyAlignment="1" applyProtection="1">
      <alignment horizontal="left"/>
      <protection locked="0"/>
    </xf>
    <xf numFmtId="0" fontId="4" fillId="4" borderId="13" xfId="0" applyFont="1" applyFill="1" applyBorder="1" applyAlignment="1" applyProtection="1">
      <alignment horizontal="left"/>
      <protection locked="0"/>
    </xf>
    <xf numFmtId="0" fontId="4" fillId="4" borderId="27" xfId="0" applyFont="1" applyFill="1" applyBorder="1" applyAlignment="1" applyProtection="1">
      <alignment horizontal="left" indent="1"/>
      <protection locked="0"/>
    </xf>
    <xf numFmtId="0" fontId="4" fillId="4" borderId="10" xfId="0" applyFont="1" applyFill="1" applyBorder="1" applyAlignment="1" applyProtection="1">
      <alignment horizontal="left" indent="1"/>
      <protection locked="0"/>
    </xf>
    <xf numFmtId="0" fontId="4" fillId="4" borderId="11" xfId="0" applyFont="1" applyFill="1" applyBorder="1" applyAlignment="1" applyProtection="1">
      <alignment horizontal="left" indent="1"/>
      <protection locked="0"/>
    </xf>
    <xf numFmtId="0" fontId="4" fillId="4" borderId="21" xfId="0" applyFont="1" applyFill="1" applyBorder="1" applyAlignment="1" applyProtection="1">
      <alignment horizontal="left" indent="1"/>
      <protection locked="0"/>
    </xf>
    <xf numFmtId="0" fontId="4" fillId="4" borderId="12" xfId="0" applyFont="1" applyFill="1" applyBorder="1" applyAlignment="1" applyProtection="1">
      <alignment horizontal="left" indent="1"/>
      <protection locked="0"/>
    </xf>
    <xf numFmtId="0" fontId="4" fillId="4" borderId="13" xfId="0" applyFont="1" applyFill="1" applyBorder="1" applyAlignment="1" applyProtection="1">
      <alignment horizontal="left" indent="1"/>
      <protection locked="0"/>
    </xf>
    <xf numFmtId="0" fontId="8" fillId="3" borderId="3" xfId="0" applyFont="1" applyFill="1" applyBorder="1" applyAlignment="1" applyProtection="1">
      <alignment horizontal="center" vertical="center"/>
      <protection/>
    </xf>
    <xf numFmtId="0" fontId="8" fillId="3" borderId="4" xfId="0" applyFont="1" applyFill="1" applyBorder="1" applyAlignment="1" applyProtection="1">
      <alignment horizontal="center" vertical="center"/>
      <protection/>
    </xf>
    <xf numFmtId="0" fontId="8" fillId="3" borderId="7" xfId="0" applyFont="1" applyFill="1" applyBorder="1" applyAlignment="1" applyProtection="1">
      <alignment horizontal="center" vertical="center"/>
      <protection/>
    </xf>
    <xf numFmtId="0" fontId="8" fillId="3" borderId="5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8" fillId="3" borderId="9" xfId="0" applyFont="1" applyFill="1" applyBorder="1" applyAlignment="1" applyProtection="1">
      <alignment horizontal="center" vertical="center"/>
      <protection/>
    </xf>
    <xf numFmtId="49" fontId="4" fillId="4" borderId="27" xfId="0" applyNumberFormat="1" applyFont="1" applyFill="1" applyBorder="1" applyAlignment="1" applyProtection="1">
      <alignment horizontal="center"/>
      <protection locked="0"/>
    </xf>
    <xf numFmtId="49" fontId="4" fillId="4" borderId="11" xfId="0" applyNumberFormat="1" applyFont="1" applyFill="1" applyBorder="1" applyAlignment="1" applyProtection="1">
      <alignment horizontal="center"/>
      <protection locked="0"/>
    </xf>
    <xf numFmtId="49" fontId="4" fillId="4" borderId="21" xfId="0" applyNumberFormat="1" applyFont="1" applyFill="1" applyBorder="1" applyAlignment="1" applyProtection="1">
      <alignment horizontal="center"/>
      <protection locked="0"/>
    </xf>
    <xf numFmtId="49" fontId="4" fillId="4" borderId="13" xfId="0" applyNumberFormat="1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left" vertical="center"/>
      <protection locked="0"/>
    </xf>
    <xf numFmtId="0" fontId="4" fillId="4" borderId="11" xfId="0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4" fillId="4" borderId="16" xfId="0" applyFont="1" applyFill="1" applyBorder="1" applyAlignment="1" applyProtection="1">
      <alignment horizontal="left" vertical="center"/>
      <protection locked="0"/>
    </xf>
    <xf numFmtId="0" fontId="4" fillId="4" borderId="12" xfId="0" applyFont="1" applyFill="1" applyBorder="1" applyAlignment="1" applyProtection="1">
      <alignment horizontal="left" vertical="center"/>
      <protection locked="0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4" fillId="4" borderId="6" xfId="0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 vertical="center"/>
      <protection/>
    </xf>
    <xf numFmtId="49" fontId="4" fillId="4" borderId="15" xfId="0" applyNumberFormat="1" applyFont="1" applyFill="1" applyBorder="1" applyAlignment="1" applyProtection="1">
      <alignment horizontal="left"/>
      <protection locked="0"/>
    </xf>
    <xf numFmtId="49" fontId="4" fillId="4" borderId="0" xfId="0" applyNumberFormat="1" applyFont="1" applyFill="1" applyBorder="1" applyAlignment="1" applyProtection="1">
      <alignment horizontal="left"/>
      <protection locked="0"/>
    </xf>
    <xf numFmtId="49" fontId="4" fillId="4" borderId="16" xfId="0" applyNumberFormat="1" applyFont="1" applyFill="1" applyBorder="1" applyAlignment="1" applyProtection="1">
      <alignment horizontal="left"/>
      <protection locked="0"/>
    </xf>
    <xf numFmtId="49" fontId="4" fillId="4" borderId="21" xfId="0" applyNumberFormat="1" applyFont="1" applyFill="1" applyBorder="1" applyAlignment="1" applyProtection="1">
      <alignment horizontal="left"/>
      <protection locked="0"/>
    </xf>
    <xf numFmtId="49" fontId="4" fillId="4" borderId="12" xfId="0" applyNumberFormat="1" applyFont="1" applyFill="1" applyBorder="1" applyAlignment="1" applyProtection="1">
      <alignment horizontal="left"/>
      <protection locked="0"/>
    </xf>
    <xf numFmtId="49" fontId="4" fillId="4" borderId="13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21" xfId="0" applyFont="1" applyFill="1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 applyProtection="1">
      <alignment horizontal="left" vertical="center"/>
      <protection locked="0"/>
    </xf>
    <xf numFmtId="0" fontId="4" fillId="4" borderId="4" xfId="0" applyFont="1" applyFill="1" applyBorder="1" applyAlignment="1" applyProtection="1">
      <alignment horizontal="left" vertical="center"/>
      <protection locked="0"/>
    </xf>
    <xf numFmtId="0" fontId="4" fillId="4" borderId="7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8" xfId="0" applyFont="1" applyFill="1" applyBorder="1" applyAlignment="1" applyProtection="1">
      <alignment horizontal="left" vertical="center"/>
      <protection locked="0"/>
    </xf>
    <xf numFmtId="0" fontId="4" fillId="4" borderId="5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9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horizontal="left" vertical="center"/>
      <protection/>
    </xf>
    <xf numFmtId="0" fontId="8" fillId="3" borderId="4" xfId="0" applyFont="1" applyFill="1" applyBorder="1" applyAlignment="1" applyProtection="1">
      <alignment horizontal="left" vertical="center"/>
      <protection/>
    </xf>
    <xf numFmtId="0" fontId="8" fillId="3" borderId="1" xfId="0" applyFont="1" applyFill="1" applyBorder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horizontal="left" vertical="center"/>
      <protection/>
    </xf>
    <xf numFmtId="0" fontId="8" fillId="3" borderId="5" xfId="0" applyFont="1" applyFill="1" applyBorder="1" applyAlignment="1" applyProtection="1">
      <alignment horizontal="left" vertical="center"/>
      <protection/>
    </xf>
    <xf numFmtId="0" fontId="8" fillId="3" borderId="2" xfId="0" applyFont="1" applyFill="1" applyBorder="1" applyAlignment="1" applyProtection="1">
      <alignment horizontal="left" vertical="center"/>
      <protection/>
    </xf>
    <xf numFmtId="0" fontId="8" fillId="2" borderId="41" xfId="0" applyFont="1" applyFill="1" applyBorder="1" applyAlignment="1" applyProtection="1">
      <alignment horizontal="center" vertical="center"/>
      <protection/>
    </xf>
    <xf numFmtId="9" fontId="4" fillId="4" borderId="28" xfId="0" applyNumberFormat="1" applyFont="1" applyFill="1" applyBorder="1" applyAlignment="1" applyProtection="1">
      <alignment horizontal="center"/>
      <protection locked="0"/>
    </xf>
    <xf numFmtId="9" fontId="4" fillId="4" borderId="41" xfId="0" applyNumberFormat="1" applyFont="1" applyFill="1" applyBorder="1" applyAlignment="1" applyProtection="1">
      <alignment horizontal="center"/>
      <protection locked="0"/>
    </xf>
    <xf numFmtId="9" fontId="4" fillId="4" borderId="6" xfId="0" applyNumberFormat="1" applyFont="1" applyFill="1" applyBorder="1" applyAlignment="1" applyProtection="1">
      <alignment horizontal="center"/>
      <protection locked="0"/>
    </xf>
    <xf numFmtId="0" fontId="4" fillId="4" borderId="28" xfId="0" applyNumberFormat="1" applyFont="1" applyFill="1" applyBorder="1" applyAlignment="1" applyProtection="1">
      <alignment horizontal="left"/>
      <protection locked="0"/>
    </xf>
    <xf numFmtId="49" fontId="4" fillId="4" borderId="6" xfId="0" applyNumberFormat="1" applyFont="1" applyFill="1" applyBorder="1" applyAlignment="1" applyProtection="1">
      <alignment horizontal="left"/>
      <protection locked="0"/>
    </xf>
    <xf numFmtId="49" fontId="4" fillId="4" borderId="28" xfId="0" applyNumberFormat="1" applyFont="1" applyFill="1" applyBorder="1" applyAlignment="1" applyProtection="1">
      <alignment horizontal="left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41" xfId="0" applyFont="1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left"/>
      <protection locked="0"/>
    </xf>
    <xf numFmtId="49" fontId="4" fillId="4" borderId="15" xfId="0" applyNumberFormat="1" applyFont="1" applyFill="1" applyBorder="1" applyAlignment="1" applyProtection="1">
      <alignment horizontal="left" indent="1"/>
      <protection locked="0"/>
    </xf>
    <xf numFmtId="49" fontId="4" fillId="4" borderId="0" xfId="0" applyNumberFormat="1" applyFont="1" applyFill="1" applyBorder="1" applyAlignment="1" applyProtection="1">
      <alignment horizontal="left" indent="1"/>
      <protection locked="0"/>
    </xf>
    <xf numFmtId="49" fontId="4" fillId="4" borderId="21" xfId="0" applyNumberFormat="1" applyFont="1" applyFill="1" applyBorder="1" applyAlignment="1" applyProtection="1">
      <alignment horizontal="left" indent="1"/>
      <protection locked="0"/>
    </xf>
    <xf numFmtId="49" fontId="4" fillId="4" borderId="12" xfId="0" applyNumberFormat="1" applyFont="1" applyFill="1" applyBorder="1" applyAlignment="1" applyProtection="1">
      <alignment horizontal="left" indent="1"/>
      <protection locked="0"/>
    </xf>
    <xf numFmtId="0" fontId="8" fillId="2" borderId="33" xfId="0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center"/>
      <protection locked="0"/>
    </xf>
    <xf numFmtId="0" fontId="0" fillId="4" borderId="33" xfId="0" applyFill="1" applyBorder="1" applyAlignment="1" applyProtection="1">
      <alignment/>
      <protection locked="0"/>
    </xf>
    <xf numFmtId="0" fontId="0" fillId="4" borderId="28" xfId="0" applyFill="1" applyBorder="1" applyAlignment="1" applyProtection="1">
      <alignment/>
      <protection locked="0"/>
    </xf>
    <xf numFmtId="9" fontId="8" fillId="2" borderId="28" xfId="0" applyNumberFormat="1" applyFont="1" applyFill="1" applyBorder="1" applyAlignment="1" applyProtection="1">
      <alignment horizontal="center" vertical="center"/>
      <protection/>
    </xf>
    <xf numFmtId="9" fontId="8" fillId="2" borderId="35" xfId="0" applyNumberFormat="1" applyFont="1" applyFill="1" applyBorder="1" applyAlignment="1" applyProtection="1">
      <alignment horizontal="center" vertical="center"/>
      <protection/>
    </xf>
    <xf numFmtId="9" fontId="8" fillId="2" borderId="41" xfId="0" applyNumberFormat="1" applyFont="1" applyFill="1" applyBorder="1" applyAlignment="1" applyProtection="1">
      <alignment horizontal="center" vertical="center"/>
      <protection/>
    </xf>
    <xf numFmtId="9" fontId="8" fillId="2" borderId="27" xfId="0" applyNumberFormat="1" applyFont="1" applyFill="1" applyBorder="1" applyAlignment="1" applyProtection="1">
      <alignment horizontal="center" vertical="center"/>
      <protection/>
    </xf>
    <xf numFmtId="9" fontId="4" fillId="4" borderId="27" xfId="0" applyNumberFormat="1" applyFont="1" applyFill="1" applyBorder="1" applyAlignment="1" applyProtection="1">
      <alignment/>
      <protection locked="0"/>
    </xf>
    <xf numFmtId="9" fontId="4" fillId="4" borderId="10" xfId="0" applyNumberFormat="1" applyFont="1" applyFill="1" applyBorder="1" applyAlignment="1" applyProtection="1">
      <alignment/>
      <protection locked="0"/>
    </xf>
    <xf numFmtId="9" fontId="4" fillId="4" borderId="15" xfId="0" applyNumberFormat="1" applyFont="1" applyFill="1" applyBorder="1" applyAlignment="1" applyProtection="1">
      <alignment/>
      <protection locked="0"/>
    </xf>
    <xf numFmtId="9" fontId="4" fillId="4" borderId="0" xfId="0" applyNumberFormat="1" applyFont="1" applyFill="1" applyBorder="1" applyAlignment="1" applyProtection="1">
      <alignment/>
      <protection locked="0"/>
    </xf>
    <xf numFmtId="9" fontId="3" fillId="2" borderId="33" xfId="0" applyNumberFormat="1" applyFont="1" applyFill="1" applyBorder="1" applyAlignment="1" applyProtection="1">
      <alignment vertical="center"/>
      <protection/>
    </xf>
    <xf numFmtId="9" fontId="3" fillId="2" borderId="11" xfId="0" applyNumberFormat="1" applyFont="1" applyFill="1" applyBorder="1" applyAlignment="1" applyProtection="1">
      <alignment vertical="center"/>
      <protection/>
    </xf>
    <xf numFmtId="9" fontId="4" fillId="4" borderId="28" xfId="0" applyNumberFormat="1" applyFont="1" applyFill="1" applyBorder="1" applyAlignment="1" applyProtection="1">
      <alignment horizontal="center" vertical="center"/>
      <protection locked="0"/>
    </xf>
    <xf numFmtId="9" fontId="4" fillId="4" borderId="41" xfId="0" applyNumberFormat="1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/>
      <protection/>
    </xf>
    <xf numFmtId="0" fontId="8" fillId="3" borderId="1" xfId="0" applyFont="1" applyFill="1" applyBorder="1" applyAlignment="1" applyProtection="1">
      <alignment horizontal="center" vertical="center"/>
      <protection/>
    </xf>
    <xf numFmtId="0" fontId="8" fillId="3" borderId="0" xfId="0" applyFont="1" applyFill="1" applyBorder="1" applyAlignment="1" applyProtection="1">
      <alignment horizontal="center" vertical="center"/>
      <protection/>
    </xf>
    <xf numFmtId="0" fontId="8" fillId="3" borderId="16" xfId="0" applyFont="1" applyFill="1" applyBorder="1" applyAlignment="1" applyProtection="1">
      <alignment horizontal="center" vertical="center"/>
      <protection/>
    </xf>
    <xf numFmtId="0" fontId="8" fillId="3" borderId="24" xfId="0" applyFont="1" applyFill="1" applyBorder="1" applyAlignment="1" applyProtection="1">
      <alignment horizontal="center" vertical="center"/>
      <protection/>
    </xf>
    <xf numFmtId="0" fontId="4" fillId="4" borderId="20" xfId="0" applyFont="1" applyFill="1" applyBorder="1" applyAlignment="1" applyProtection="1">
      <alignment vertical="center"/>
      <protection locked="0"/>
    </xf>
    <xf numFmtId="0" fontId="4" fillId="4" borderId="4" xfId="0" applyFont="1" applyFill="1" applyBorder="1" applyAlignment="1" applyProtection="1">
      <alignment vertical="center"/>
      <protection locked="0"/>
    </xf>
    <xf numFmtId="0" fontId="4" fillId="4" borderId="7" xfId="0" applyFont="1" applyFill="1" applyBorder="1" applyAlignment="1" applyProtection="1">
      <alignment vertical="center"/>
      <protection locked="0"/>
    </xf>
    <xf numFmtId="0" fontId="4" fillId="4" borderId="15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4" fillId="4" borderId="8" xfId="0" applyFont="1" applyFill="1" applyBorder="1" applyAlignment="1" applyProtection="1">
      <alignment vertical="center"/>
      <protection locked="0"/>
    </xf>
    <xf numFmtId="0" fontId="4" fillId="4" borderId="22" xfId="0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vertical="center"/>
      <protection locked="0"/>
    </xf>
    <xf numFmtId="0" fontId="4" fillId="4" borderId="9" xfId="0" applyFont="1" applyFill="1" applyBorder="1" applyAlignment="1" applyProtection="1">
      <alignment vertical="center"/>
      <protection locked="0"/>
    </xf>
    <xf numFmtId="49" fontId="12" fillId="2" borderId="27" xfId="0" applyNumberFormat="1" applyFont="1" applyFill="1" applyBorder="1" applyAlignment="1" applyProtection="1">
      <alignment horizontal="center" vertical="center"/>
      <protection/>
    </xf>
    <xf numFmtId="49" fontId="12" fillId="2" borderId="10" xfId="0" applyNumberFormat="1" applyFont="1" applyFill="1" applyBorder="1" applyAlignment="1" applyProtection="1">
      <alignment horizontal="center" vertical="center"/>
      <protection/>
    </xf>
    <xf numFmtId="49" fontId="12" fillId="2" borderId="21" xfId="0" applyNumberFormat="1" applyFont="1" applyFill="1" applyBorder="1" applyAlignment="1" applyProtection="1">
      <alignment horizontal="center" vertical="center"/>
      <protection/>
    </xf>
    <xf numFmtId="49" fontId="12" fillId="2" borderId="12" xfId="0" applyNumberFormat="1" applyFont="1" applyFill="1" applyBorder="1" applyAlignment="1" applyProtection="1">
      <alignment horizontal="center" vertical="center"/>
      <protection/>
    </xf>
    <xf numFmtId="0" fontId="7" fillId="4" borderId="28" xfId="0" applyFont="1" applyFill="1" applyBorder="1" applyAlignment="1" applyProtection="1">
      <alignment horizontal="left" vertical="center"/>
      <protection locked="0"/>
    </xf>
    <xf numFmtId="0" fontId="7" fillId="4" borderId="28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16" fillId="2" borderId="15" xfId="0" applyFont="1" applyFill="1" applyBorder="1" applyAlignment="1">
      <alignment horizontal="center"/>
    </xf>
    <xf numFmtId="0" fontId="15" fillId="2" borderId="27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right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49" fontId="16" fillId="2" borderId="16" xfId="0" applyNumberFormat="1" applyFont="1" applyFill="1" applyBorder="1" applyAlignment="1">
      <alignment horizontal="right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>
      <alignment horizontal="center" vertical="center" textRotation="90"/>
    </xf>
    <xf numFmtId="0" fontId="11" fillId="2" borderId="7" xfId="0" applyFont="1" applyFill="1" applyBorder="1" applyAlignment="1">
      <alignment horizontal="center" vertical="center" textRotation="90"/>
    </xf>
    <xf numFmtId="0" fontId="11" fillId="2" borderId="1" xfId="0" applyFont="1" applyFill="1" applyBorder="1" applyAlignment="1">
      <alignment horizontal="center" vertical="center" textRotation="90"/>
    </xf>
    <xf numFmtId="0" fontId="11" fillId="2" borderId="8" xfId="0" applyFont="1" applyFill="1" applyBorder="1" applyAlignment="1">
      <alignment horizontal="center" vertical="center" textRotation="90"/>
    </xf>
    <xf numFmtId="0" fontId="11" fillId="2" borderId="5" xfId="0" applyFont="1" applyFill="1" applyBorder="1" applyAlignment="1">
      <alignment horizontal="center" vertical="center" textRotation="90"/>
    </xf>
    <xf numFmtId="0" fontId="11" fillId="2" borderId="9" xfId="0" applyFont="1" applyFill="1" applyBorder="1" applyAlignment="1">
      <alignment horizontal="center" vertical="center" textRotation="90"/>
    </xf>
    <xf numFmtId="0" fontId="0" fillId="2" borderId="28" xfId="0" applyFill="1" applyBorder="1" applyAlignment="1">
      <alignment/>
    </xf>
    <xf numFmtId="0" fontId="0" fillId="2" borderId="32" xfId="0" applyFill="1" applyBorder="1" applyAlignment="1">
      <alignment/>
    </xf>
    <xf numFmtId="0" fontId="0" fillId="4" borderId="27" xfId="0" applyFont="1" applyFill="1" applyBorder="1" applyAlignment="1" applyProtection="1">
      <alignment horizontal="center"/>
      <protection locked="0"/>
    </xf>
    <xf numFmtId="0" fontId="0" fillId="4" borderId="11" xfId="0" applyFont="1" applyFill="1" applyBorder="1" applyAlignment="1" applyProtection="1">
      <alignment horizontal="center"/>
      <protection locked="0"/>
    </xf>
    <xf numFmtId="0" fontId="0" fillId="4" borderId="21" xfId="0" applyFont="1" applyFill="1" applyBorder="1" applyAlignment="1" applyProtection="1">
      <alignment horizontal="center"/>
      <protection locked="0"/>
    </xf>
    <xf numFmtId="0" fontId="0" fillId="4" borderId="13" xfId="0" applyFont="1" applyFill="1" applyBorder="1" applyAlignment="1" applyProtection="1">
      <alignment horizontal="center"/>
      <protection locked="0"/>
    </xf>
    <xf numFmtId="0" fontId="0" fillId="2" borderId="33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9" fontId="3" fillId="2" borderId="33" xfId="0" applyNumberFormat="1" applyFont="1" applyFill="1" applyBorder="1" applyAlignment="1" applyProtection="1">
      <alignment/>
      <protection/>
    </xf>
    <xf numFmtId="0" fontId="4" fillId="2" borderId="27" xfId="0" applyNumberFormat="1" applyFont="1" applyFill="1" applyBorder="1" applyAlignment="1" applyProtection="1">
      <alignment horizontal="left"/>
      <protection/>
    </xf>
    <xf numFmtId="0" fontId="4" fillId="2" borderId="10" xfId="0" applyNumberFormat="1" applyFont="1" applyFill="1" applyBorder="1" applyAlignment="1" applyProtection="1">
      <alignment horizontal="left"/>
      <protection/>
    </xf>
    <xf numFmtId="0" fontId="4" fillId="2" borderId="11" xfId="0" applyNumberFormat="1" applyFont="1" applyFill="1" applyBorder="1" applyAlignment="1" applyProtection="1">
      <alignment horizontal="left"/>
      <protection/>
    </xf>
    <xf numFmtId="0" fontId="4" fillId="2" borderId="21" xfId="0" applyNumberFormat="1" applyFont="1" applyFill="1" applyBorder="1" applyAlignment="1" applyProtection="1">
      <alignment horizontal="left"/>
      <protection/>
    </xf>
    <xf numFmtId="0" fontId="4" fillId="2" borderId="12" xfId="0" applyNumberFormat="1" applyFont="1" applyFill="1" applyBorder="1" applyAlignment="1" applyProtection="1">
      <alignment horizontal="left"/>
      <protection/>
    </xf>
    <xf numFmtId="0" fontId="4" fillId="2" borderId="13" xfId="0" applyNumberFormat="1" applyFont="1" applyFill="1" applyBorder="1" applyAlignment="1" applyProtection="1">
      <alignment horizontal="left"/>
      <protection/>
    </xf>
    <xf numFmtId="0" fontId="13" fillId="2" borderId="28" xfId="0" applyFont="1" applyFill="1" applyBorder="1" applyAlignment="1" applyProtection="1">
      <alignment horizontal="left" vertical="center"/>
      <protection/>
    </xf>
    <xf numFmtId="0" fontId="15" fillId="2" borderId="28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16" fillId="2" borderId="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4" fillId="2" borderId="39" xfId="0" applyFont="1" applyFill="1" applyBorder="1" applyAlignment="1" applyProtection="1">
      <alignment horizontal="center"/>
      <protection/>
    </xf>
    <xf numFmtId="0" fontId="3" fillId="2" borderId="2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/>
      <protection/>
    </xf>
    <xf numFmtId="0" fontId="3" fillId="2" borderId="15" xfId="0" applyFont="1" applyFill="1" applyBorder="1" applyAlignment="1" applyProtection="1">
      <alignment/>
      <protection/>
    </xf>
    <xf numFmtId="0" fontId="3" fillId="2" borderId="8" xfId="0" applyFont="1" applyFill="1" applyBorder="1" applyAlignment="1" applyProtection="1">
      <alignment/>
      <protection/>
    </xf>
    <xf numFmtId="0" fontId="3" fillId="2" borderId="22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/>
      <protection/>
    </xf>
    <xf numFmtId="0" fontId="0" fillId="2" borderId="33" xfId="0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9" fontId="4" fillId="2" borderId="6" xfId="0" applyNumberFormat="1" applyFont="1" applyFill="1" applyBorder="1" applyAlignment="1" applyProtection="1">
      <alignment horizontal="center"/>
      <protection/>
    </xf>
    <xf numFmtId="9" fontId="4" fillId="2" borderId="41" xfId="0" applyNumberFormat="1" applyFont="1" applyFill="1" applyBorder="1" applyAlignment="1" applyProtection="1">
      <alignment horizontal="center"/>
      <protection/>
    </xf>
    <xf numFmtId="0" fontId="8" fillId="3" borderId="44" xfId="0" applyFont="1" applyFill="1" applyBorder="1" applyAlignment="1" applyProtection="1">
      <alignment horizontal="center" vertical="center"/>
      <protection/>
    </xf>
    <xf numFmtId="0" fontId="8" fillId="3" borderId="45" xfId="0" applyFont="1" applyFill="1" applyBorder="1" applyAlignment="1" applyProtection="1">
      <alignment horizontal="center" vertical="center"/>
      <protection/>
    </xf>
    <xf numFmtId="0" fontId="0" fillId="2" borderId="2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9" fontId="8" fillId="2" borderId="28" xfId="0" applyNumberFormat="1" applyFont="1" applyFill="1" applyBorder="1" applyAlignment="1" applyProtection="1">
      <alignment horizontal="center"/>
      <protection/>
    </xf>
    <xf numFmtId="9" fontId="8" fillId="2" borderId="35" xfId="0" applyNumberFormat="1" applyFont="1" applyFill="1" applyBorder="1" applyAlignment="1" applyProtection="1">
      <alignment horizontal="center"/>
      <protection/>
    </xf>
    <xf numFmtId="9" fontId="4" fillId="2" borderId="27" xfId="0" applyNumberFormat="1" applyFont="1" applyFill="1" applyBorder="1" applyAlignment="1" applyProtection="1">
      <alignment/>
      <protection/>
    </xf>
    <xf numFmtId="9" fontId="4" fillId="2" borderId="10" xfId="0" applyNumberFormat="1" applyFont="1" applyFill="1" applyBorder="1" applyAlignment="1" applyProtection="1">
      <alignment/>
      <protection/>
    </xf>
    <xf numFmtId="9" fontId="4" fillId="2" borderId="21" xfId="0" applyNumberFormat="1" applyFont="1" applyFill="1" applyBorder="1" applyAlignment="1" applyProtection="1">
      <alignment/>
      <protection/>
    </xf>
    <xf numFmtId="9" fontId="4" fillId="2" borderId="12" xfId="0" applyNumberFormat="1" applyFont="1" applyFill="1" applyBorder="1" applyAlignment="1" applyProtection="1">
      <alignment/>
      <protection/>
    </xf>
    <xf numFmtId="0" fontId="3" fillId="4" borderId="28" xfId="0" applyFont="1" applyFill="1" applyBorder="1" applyAlignment="1" applyProtection="1">
      <alignment horizontal="center"/>
      <protection locked="0"/>
    </xf>
    <xf numFmtId="0" fontId="15" fillId="2" borderId="28" xfId="0" applyFont="1" applyFill="1" applyBorder="1" applyAlignment="1" applyProtection="1">
      <alignment horizontal="center"/>
      <protection/>
    </xf>
    <xf numFmtId="0" fontId="0" fillId="2" borderId="27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13" fillId="2" borderId="43" xfId="0" applyFont="1" applyFill="1" applyBorder="1" applyAlignment="1" applyProtection="1">
      <alignment horizontal="left" vertical="center"/>
      <protection/>
    </xf>
    <xf numFmtId="0" fontId="13" fillId="2" borderId="30" xfId="0" applyFont="1" applyFill="1" applyBorder="1" applyAlignment="1" applyProtection="1">
      <alignment horizontal="left" vertical="center"/>
      <protection/>
    </xf>
    <xf numFmtId="0" fontId="13" fillId="2" borderId="42" xfId="0" applyFont="1" applyFill="1" applyBorder="1" applyAlignment="1" applyProtection="1">
      <alignment horizontal="left" vertical="center"/>
      <protection/>
    </xf>
    <xf numFmtId="0" fontId="13" fillId="2" borderId="32" xfId="0" applyFont="1" applyFill="1" applyBorder="1" applyAlignment="1" applyProtection="1">
      <alignment horizontal="left" vertical="center"/>
      <protection/>
    </xf>
    <xf numFmtId="0" fontId="13" fillId="2" borderId="36" xfId="0" applyFont="1" applyFill="1" applyBorder="1" applyAlignment="1" applyProtection="1">
      <alignment horizontal="left" vertical="center"/>
      <protection/>
    </xf>
    <xf numFmtId="0" fontId="13" fillId="2" borderId="37" xfId="0" applyFont="1" applyFill="1" applyBorder="1" applyAlignment="1" applyProtection="1">
      <alignment horizontal="left" vertical="center"/>
      <protection/>
    </xf>
    <xf numFmtId="0" fontId="8" fillId="2" borderId="3" xfId="0" applyFont="1" applyFill="1" applyBorder="1" applyAlignment="1" applyProtection="1">
      <alignment horizontal="center" vertical="center"/>
      <protection/>
    </xf>
    <xf numFmtId="0" fontId="8" fillId="2" borderId="4" xfId="0" applyFont="1" applyFill="1" applyBorder="1" applyAlignment="1" applyProtection="1">
      <alignment horizontal="center" vertical="center"/>
      <protection/>
    </xf>
    <xf numFmtId="0" fontId="8" fillId="2" borderId="5" xfId="0" applyFont="1" applyFill="1" applyBorder="1" applyAlignment="1" applyProtection="1">
      <alignment horizontal="center" vertical="center"/>
      <protection/>
    </xf>
    <xf numFmtId="0" fontId="8" fillId="2" borderId="2" xfId="0" applyFont="1" applyFill="1" applyBorder="1" applyAlignment="1" applyProtection="1">
      <alignment horizontal="center" vertical="center"/>
      <protection/>
    </xf>
    <xf numFmtId="0" fontId="8" fillId="3" borderId="7" xfId="0" applyFont="1" applyFill="1" applyBorder="1" applyAlignment="1" applyProtection="1">
      <alignment horizontal="left"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9" fontId="3" fillId="2" borderId="11" xfId="0" applyNumberFormat="1" applyFont="1" applyFill="1" applyBorder="1" applyAlignment="1" applyProtection="1">
      <alignment/>
      <protection/>
    </xf>
    <xf numFmtId="49" fontId="0" fillId="4" borderId="27" xfId="0" applyNumberFormat="1" applyFill="1" applyBorder="1" applyAlignment="1" applyProtection="1" quotePrefix="1">
      <alignment horizontal="left"/>
      <protection locked="0"/>
    </xf>
    <xf numFmtId="49" fontId="0" fillId="4" borderId="10" xfId="0" applyNumberFormat="1" applyFill="1" applyBorder="1" applyAlignment="1" applyProtection="1">
      <alignment horizontal="left"/>
      <protection locked="0"/>
    </xf>
    <xf numFmtId="49" fontId="0" fillId="4" borderId="11" xfId="0" applyNumberFormat="1" applyFill="1" applyBorder="1" applyAlignment="1" applyProtection="1">
      <alignment horizontal="left"/>
      <protection locked="0"/>
    </xf>
    <xf numFmtId="49" fontId="0" fillId="4" borderId="21" xfId="0" applyNumberFormat="1" applyFill="1" applyBorder="1" applyAlignment="1" applyProtection="1">
      <alignment horizontal="left"/>
      <protection locked="0"/>
    </xf>
    <xf numFmtId="49" fontId="0" fillId="4" borderId="12" xfId="0" applyNumberFormat="1" applyFill="1" applyBorder="1" applyAlignment="1" applyProtection="1">
      <alignment horizontal="left"/>
      <protection locked="0"/>
    </xf>
    <xf numFmtId="49" fontId="0" fillId="4" borderId="13" xfId="0" applyNumberFormat="1" applyFill="1" applyBorder="1" applyAlignment="1" applyProtection="1">
      <alignment horizontal="left"/>
      <protection locked="0"/>
    </xf>
    <xf numFmtId="0" fontId="8" fillId="2" borderId="22" xfId="0" applyFont="1" applyFill="1" applyBorder="1" applyAlignment="1" applyProtection="1">
      <alignment horizontal="center" vertical="center"/>
      <protection/>
    </xf>
    <xf numFmtId="0" fontId="8" fillId="2" borderId="24" xfId="0" applyFont="1" applyFill="1" applyBorder="1" applyAlignment="1" applyProtection="1">
      <alignment horizontal="center" vertical="center"/>
      <protection/>
    </xf>
    <xf numFmtId="49" fontId="0" fillId="4" borderId="27" xfId="0" applyNumberFormat="1" applyFill="1" applyBorder="1" applyAlignment="1" applyProtection="1">
      <alignment horizontal="left"/>
      <protection locked="0"/>
    </xf>
    <xf numFmtId="49" fontId="0" fillId="4" borderId="22" xfId="0" applyNumberFormat="1" applyFill="1" applyBorder="1" applyAlignment="1" applyProtection="1">
      <alignment horizontal="left"/>
      <protection locked="0"/>
    </xf>
    <xf numFmtId="49" fontId="0" fillId="4" borderId="2" xfId="0" applyNumberFormat="1" applyFill="1" applyBorder="1" applyAlignment="1" applyProtection="1">
      <alignment horizontal="left"/>
      <protection locked="0"/>
    </xf>
    <xf numFmtId="49" fontId="0" fillId="4" borderId="0" xfId="0" applyNumberFormat="1" applyFill="1" applyBorder="1" applyAlignment="1" applyProtection="1">
      <alignment horizontal="left"/>
      <protection locked="0"/>
    </xf>
    <xf numFmtId="0" fontId="0" fillId="4" borderId="39" xfId="0" applyFill="1" applyBorder="1" applyAlignment="1" applyProtection="1">
      <alignment/>
      <protection locked="0"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16" xfId="0" applyFont="1" applyFill="1" applyBorder="1" applyAlignment="1" applyProtection="1">
      <alignment horizontal="left" vertical="center"/>
      <protection/>
    </xf>
    <xf numFmtId="0" fontId="8" fillId="3" borderId="24" xfId="0" applyFont="1" applyFill="1" applyBorder="1" applyAlignment="1" applyProtection="1">
      <alignment horizontal="left" vertical="center"/>
      <protection/>
    </xf>
    <xf numFmtId="0" fontId="4" fillId="4" borderId="20" xfId="0" applyFont="1" applyFill="1" applyBorder="1" applyAlignment="1" applyProtection="1">
      <alignment horizontal="left" vertical="center"/>
      <protection locked="0"/>
    </xf>
    <xf numFmtId="0" fontId="4" fillId="4" borderId="15" xfId="0" applyFont="1" applyFill="1" applyBorder="1" applyAlignment="1" applyProtection="1">
      <alignment horizontal="left" vertical="center"/>
      <protection locked="0"/>
    </xf>
    <xf numFmtId="0" fontId="4" fillId="4" borderId="22" xfId="0" applyFont="1" applyFill="1" applyBorder="1" applyAlignment="1" applyProtection="1">
      <alignment horizontal="left" vertical="center"/>
      <protection locked="0"/>
    </xf>
    <xf numFmtId="0" fontId="4" fillId="4" borderId="28" xfId="0" applyFont="1" applyFill="1" applyBorder="1" applyAlignment="1" applyProtection="1">
      <alignment horizontal="right"/>
      <protection locked="0"/>
    </xf>
    <xf numFmtId="0" fontId="7" fillId="4" borderId="15" xfId="0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4" borderId="16" xfId="0" applyFont="1" applyFill="1" applyBorder="1" applyAlignment="1" applyProtection="1">
      <alignment horizontal="left" vertical="center"/>
      <protection locked="0"/>
    </xf>
    <xf numFmtId="0" fontId="7" fillId="4" borderId="21" xfId="0" applyFont="1" applyFill="1" applyBorder="1" applyAlignment="1" applyProtection="1">
      <alignment horizontal="left" vertical="center"/>
      <protection locked="0"/>
    </xf>
    <xf numFmtId="0" fontId="7" fillId="4" borderId="12" xfId="0" applyFont="1" applyFill="1" applyBorder="1" applyAlignment="1" applyProtection="1">
      <alignment horizontal="left" vertical="center"/>
      <protection locked="0"/>
    </xf>
    <xf numFmtId="0" fontId="7" fillId="4" borderId="13" xfId="0" applyFont="1" applyFill="1" applyBorder="1" applyAlignment="1" applyProtection="1">
      <alignment horizontal="left" vertical="center"/>
      <protection locked="0"/>
    </xf>
    <xf numFmtId="0" fontId="7" fillId="4" borderId="15" xfId="0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Border="1" applyAlignment="1" applyProtection="1">
      <alignment horizontal="right" vertical="center"/>
      <protection locked="0"/>
    </xf>
    <xf numFmtId="0" fontId="7" fillId="4" borderId="16" xfId="0" applyFont="1" applyFill="1" applyBorder="1" applyAlignment="1" applyProtection="1">
      <alignment horizontal="right" vertical="center"/>
      <protection locked="0"/>
    </xf>
    <xf numFmtId="0" fontId="7" fillId="4" borderId="21" xfId="0" applyFont="1" applyFill="1" applyBorder="1" applyAlignment="1" applyProtection="1">
      <alignment horizontal="right" vertical="center"/>
      <protection locked="0"/>
    </xf>
    <xf numFmtId="0" fontId="7" fillId="4" borderId="12" xfId="0" applyFont="1" applyFill="1" applyBorder="1" applyAlignment="1" applyProtection="1">
      <alignment horizontal="right" vertical="center"/>
      <protection locked="0"/>
    </xf>
    <xf numFmtId="0" fontId="7" fillId="4" borderId="13" xfId="0" applyFont="1" applyFill="1" applyBorder="1" applyAlignment="1" applyProtection="1">
      <alignment horizontal="right" vertical="center"/>
      <protection locked="0"/>
    </xf>
    <xf numFmtId="0" fontId="19" fillId="4" borderId="6" xfId="0" applyFont="1" applyFill="1" applyBorder="1" applyAlignment="1" applyProtection="1">
      <alignment/>
      <protection locked="0"/>
    </xf>
    <xf numFmtId="0" fontId="19" fillId="4" borderId="28" xfId="0" applyFont="1" applyFill="1" applyBorder="1" applyAlignment="1" applyProtection="1">
      <alignment/>
      <protection locked="0"/>
    </xf>
    <xf numFmtId="9" fontId="4" fillId="4" borderId="27" xfId="0" applyNumberFormat="1" applyFont="1" applyFill="1" applyBorder="1" applyAlignment="1" applyProtection="1">
      <alignment horizontal="center"/>
      <protection locked="0"/>
    </xf>
    <xf numFmtId="9" fontId="4" fillId="4" borderId="10" xfId="0" applyNumberFormat="1" applyFont="1" applyFill="1" applyBorder="1" applyAlignment="1" applyProtection="1">
      <alignment horizontal="center"/>
      <protection locked="0"/>
    </xf>
    <xf numFmtId="9" fontId="4" fillId="4" borderId="11" xfId="0" applyNumberFormat="1" applyFont="1" applyFill="1" applyBorder="1" applyAlignment="1" applyProtection="1">
      <alignment horizontal="center"/>
      <protection locked="0"/>
    </xf>
    <xf numFmtId="9" fontId="4" fillId="4" borderId="21" xfId="0" applyNumberFormat="1" applyFont="1" applyFill="1" applyBorder="1" applyAlignment="1" applyProtection="1">
      <alignment horizontal="center"/>
      <protection locked="0"/>
    </xf>
    <xf numFmtId="9" fontId="4" fillId="4" borderId="12" xfId="0" applyNumberFormat="1" applyFont="1" applyFill="1" applyBorder="1" applyAlignment="1" applyProtection="1">
      <alignment horizontal="center"/>
      <protection locked="0"/>
    </xf>
    <xf numFmtId="9" fontId="4" fillId="4" borderId="13" xfId="0" applyNumberFormat="1" applyFont="1" applyFill="1" applyBorder="1" applyAlignment="1" applyProtection="1">
      <alignment horizontal="center"/>
      <protection locked="0"/>
    </xf>
    <xf numFmtId="0" fontId="19" fillId="4" borderId="28" xfId="0" applyFont="1" applyFill="1" applyBorder="1" applyAlignment="1" applyProtection="1">
      <alignment horizontal="left"/>
      <protection locked="0"/>
    </xf>
    <xf numFmtId="9" fontId="19" fillId="4" borderId="28" xfId="0" applyNumberFormat="1" applyFont="1" applyFill="1" applyBorder="1" applyAlignment="1" applyProtection="1">
      <alignment horizontal="left"/>
      <protection locked="0"/>
    </xf>
    <xf numFmtId="0" fontId="19" fillId="4" borderId="28" xfId="0" applyFont="1" applyFill="1" applyBorder="1" applyAlignment="1" applyProtection="1">
      <alignment horizontal="left" vertical="center"/>
      <protection locked="0"/>
    </xf>
    <xf numFmtId="0" fontId="19" fillId="4" borderId="27" xfId="0" applyFont="1" applyFill="1" applyBorder="1" applyAlignment="1" applyProtection="1">
      <alignment horizontal="left"/>
      <protection locked="0"/>
    </xf>
    <xf numFmtId="0" fontId="19" fillId="4" borderId="10" xfId="0" applyFont="1" applyFill="1" applyBorder="1" applyAlignment="1" applyProtection="1">
      <alignment horizontal="left"/>
      <protection locked="0"/>
    </xf>
    <xf numFmtId="0" fontId="19" fillId="4" borderId="11" xfId="0" applyFont="1" applyFill="1" applyBorder="1" applyAlignment="1" applyProtection="1">
      <alignment horizontal="left"/>
      <protection locked="0"/>
    </xf>
    <xf numFmtId="0" fontId="19" fillId="4" borderId="21" xfId="0" applyFont="1" applyFill="1" applyBorder="1" applyAlignment="1" applyProtection="1">
      <alignment horizontal="left"/>
      <protection locked="0"/>
    </xf>
    <xf numFmtId="0" fontId="19" fillId="4" borderId="12" xfId="0" applyFont="1" applyFill="1" applyBorder="1" applyAlignment="1" applyProtection="1">
      <alignment horizontal="left"/>
      <protection locked="0"/>
    </xf>
    <xf numFmtId="0" fontId="19" fillId="4" borderId="13" xfId="0" applyFont="1" applyFill="1" applyBorder="1" applyAlignment="1" applyProtection="1">
      <alignment horizontal="left"/>
      <protection locked="0"/>
    </xf>
    <xf numFmtId="0" fontId="8" fillId="3" borderId="27" xfId="0" applyFont="1" applyFill="1" applyBorder="1" applyAlignment="1" applyProtection="1">
      <alignment horizontal="center" vertical="center"/>
      <protection/>
    </xf>
    <xf numFmtId="0" fontId="8" fillId="3" borderId="10" xfId="0" applyFont="1" applyFill="1" applyBorder="1" applyAlignment="1" applyProtection="1">
      <alignment horizontal="center" vertical="center"/>
      <protection/>
    </xf>
    <xf numFmtId="0" fontId="8" fillId="3" borderId="11" xfId="0" applyFont="1" applyFill="1" applyBorder="1" applyAlignment="1" applyProtection="1">
      <alignment horizontal="center" vertical="center"/>
      <protection/>
    </xf>
    <xf numFmtId="0" fontId="8" fillId="3" borderId="21" xfId="0" applyFont="1" applyFill="1" applyBorder="1" applyAlignment="1" applyProtection="1">
      <alignment horizontal="center" vertical="center"/>
      <protection/>
    </xf>
    <xf numFmtId="0" fontId="8" fillId="3" borderId="12" xfId="0" applyFont="1" applyFill="1" applyBorder="1" applyAlignment="1" applyProtection="1">
      <alignment horizontal="center" vertical="center"/>
      <protection/>
    </xf>
    <xf numFmtId="0" fontId="8" fillId="3" borderId="13" xfId="0" applyFont="1" applyFill="1" applyBorder="1" applyAlignment="1" applyProtection="1">
      <alignment horizontal="center" vertical="center"/>
      <protection/>
    </xf>
    <xf numFmtId="0" fontId="19" fillId="4" borderId="27" xfId="0" applyFont="1" applyFill="1" applyBorder="1" applyAlignment="1" applyProtection="1">
      <alignment horizontal="left" vertical="center"/>
      <protection locked="0"/>
    </xf>
    <xf numFmtId="0" fontId="19" fillId="4" borderId="10" xfId="0" applyFont="1" applyFill="1" applyBorder="1" applyAlignment="1" applyProtection="1">
      <alignment horizontal="left" vertical="center"/>
      <protection locked="0"/>
    </xf>
    <xf numFmtId="0" fontId="19" fillId="4" borderId="11" xfId="0" applyFont="1" applyFill="1" applyBorder="1" applyAlignment="1" applyProtection="1">
      <alignment horizontal="left" vertical="center"/>
      <protection locked="0"/>
    </xf>
    <xf numFmtId="0" fontId="19" fillId="4" borderId="21" xfId="0" applyFont="1" applyFill="1" applyBorder="1" applyAlignment="1" applyProtection="1">
      <alignment horizontal="left" vertical="center"/>
      <protection locked="0"/>
    </xf>
    <xf numFmtId="0" fontId="19" fillId="4" borderId="12" xfId="0" applyFont="1" applyFill="1" applyBorder="1" applyAlignment="1" applyProtection="1">
      <alignment horizontal="left" vertical="center"/>
      <protection locked="0"/>
    </xf>
    <xf numFmtId="0" fontId="19" fillId="4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9" fontId="4" fillId="4" borderId="6" xfId="0" applyNumberFormat="1" applyFont="1" applyFill="1" applyBorder="1" applyAlignment="1" applyProtection="1">
      <alignment/>
      <protection locked="0"/>
    </xf>
    <xf numFmtId="0" fontId="4" fillId="4" borderId="6" xfId="0" applyFont="1" applyFill="1" applyBorder="1" applyAlignment="1" applyProtection="1">
      <alignment/>
      <protection locked="0"/>
    </xf>
    <xf numFmtId="0" fontId="4" fillId="4" borderId="28" xfId="0" applyFont="1" applyFill="1" applyBorder="1" applyAlignment="1" applyProtection="1">
      <alignment/>
      <protection locked="0"/>
    </xf>
    <xf numFmtId="9" fontId="4" fillId="4" borderId="28" xfId="0" applyNumberFormat="1" applyFont="1" applyFill="1" applyBorder="1" applyAlignment="1" applyProtection="1">
      <alignment/>
      <protection locked="0"/>
    </xf>
    <xf numFmtId="0" fontId="0" fillId="2" borderId="14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rgb="FFFFCC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85725</xdr:colOff>
      <xdr:row>46</xdr:row>
      <xdr:rowOff>19050</xdr:rowOff>
    </xdr:from>
    <xdr:to>
      <xdr:col>32</xdr:col>
      <xdr:colOff>57150</xdr:colOff>
      <xdr:row>67</xdr:row>
      <xdr:rowOff>28575</xdr:rowOff>
    </xdr:to>
    <xdr:pic>
      <xdr:nvPicPr>
        <xdr:cNvPr id="1" name="Picture 12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10100" y="4410075"/>
          <a:ext cx="123825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114300</xdr:colOff>
      <xdr:row>50</xdr:row>
      <xdr:rowOff>19050</xdr:rowOff>
    </xdr:from>
    <xdr:to>
      <xdr:col>32</xdr:col>
      <xdr:colOff>57150</xdr:colOff>
      <xdr:row>67</xdr:row>
      <xdr:rowOff>9525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>
          <a:clrChange>
            <a:clrFrom>
              <a:srgbClr val="FDFFFF"/>
            </a:clrFrom>
            <a:clrTo>
              <a:srgbClr val="FDFFFF">
                <a:alpha val="0"/>
              </a:srgbClr>
            </a:clrTo>
          </a:clrChange>
        </a:blip>
        <a:stretch>
          <a:fillRect/>
        </a:stretch>
      </xdr:blipFill>
      <xdr:spPr>
        <a:xfrm>
          <a:off x="4638675" y="4791075"/>
          <a:ext cx="12096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161925</xdr:colOff>
      <xdr:row>50</xdr:row>
      <xdr:rowOff>28575</xdr:rowOff>
    </xdr:from>
    <xdr:to>
      <xdr:col>31</xdr:col>
      <xdr:colOff>9525</xdr:colOff>
      <xdr:row>67</xdr:row>
      <xdr:rowOff>0</xdr:rowOff>
    </xdr:to>
    <xdr:pic>
      <xdr:nvPicPr>
        <xdr:cNvPr id="1" name="Picture 8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67275" y="4800600"/>
          <a:ext cx="7524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142875</xdr:colOff>
      <xdr:row>50</xdr:row>
      <xdr:rowOff>19050</xdr:rowOff>
    </xdr:from>
    <xdr:to>
      <xdr:col>32</xdr:col>
      <xdr:colOff>66675</xdr:colOff>
      <xdr:row>66</xdr:row>
      <xdr:rowOff>76200</xdr:rowOff>
    </xdr:to>
    <xdr:pic>
      <xdr:nvPicPr>
        <xdr:cNvPr id="1" name="Picture 82"/>
        <xdr:cNvPicPr preferRelativeResize="1">
          <a:picLocks noChangeAspect="1"/>
        </xdr:cNvPicPr>
      </xdr:nvPicPr>
      <xdr:blipFill>
        <a:blip r:embed="rId1">
          <a:clrChange>
            <a:clrFrom>
              <a:srgbClr val="F9F9F9"/>
            </a:clrFrom>
            <a:clrTo>
              <a:srgbClr val="F9F9F9">
                <a:alpha val="0"/>
              </a:srgbClr>
            </a:clrTo>
          </a:clrChange>
        </a:blip>
        <a:stretch>
          <a:fillRect/>
        </a:stretch>
      </xdr:blipFill>
      <xdr:spPr>
        <a:xfrm>
          <a:off x="4667250" y="4791075"/>
          <a:ext cx="11906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19050</xdr:colOff>
      <xdr:row>52</xdr:row>
      <xdr:rowOff>9525</xdr:rowOff>
    </xdr:from>
    <xdr:to>
      <xdr:col>31</xdr:col>
      <xdr:colOff>9525</xdr:colOff>
      <xdr:row>67</xdr:row>
      <xdr:rowOff>9525</xdr:rowOff>
    </xdr:to>
    <xdr:pic>
      <xdr:nvPicPr>
        <xdr:cNvPr id="1" name="Picture 84"/>
        <xdr:cNvPicPr preferRelativeResize="1">
          <a:picLocks noChangeAspect="1"/>
        </xdr:cNvPicPr>
      </xdr:nvPicPr>
      <xdr:blipFill>
        <a:blip r:embed="rId1">
          <a:clrChange>
            <a:clrFrom>
              <a:srgbClr val="F0FDFE"/>
            </a:clrFrom>
            <a:clrTo>
              <a:srgbClr val="F0FDFE">
                <a:alpha val="0"/>
              </a:srgbClr>
            </a:clrTo>
          </a:clrChange>
        </a:blip>
        <a:stretch>
          <a:fillRect/>
        </a:stretch>
      </xdr:blipFill>
      <xdr:spPr>
        <a:xfrm>
          <a:off x="4905375" y="4972050"/>
          <a:ext cx="7143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9525</xdr:colOff>
      <xdr:row>46</xdr:row>
      <xdr:rowOff>66675</xdr:rowOff>
    </xdr:from>
    <xdr:to>
      <xdr:col>32</xdr:col>
      <xdr:colOff>152400</xdr:colOff>
      <xdr:row>66</xdr:row>
      <xdr:rowOff>66675</xdr:rowOff>
    </xdr:to>
    <xdr:pic>
      <xdr:nvPicPr>
        <xdr:cNvPr id="1" name="Picture 83"/>
        <xdr:cNvPicPr preferRelativeResize="1">
          <a:picLocks noChangeAspect="1"/>
        </xdr:cNvPicPr>
      </xdr:nvPicPr>
      <xdr:blipFill>
        <a:blip r:embed="rId1">
          <a:clrChange>
            <a:clrFrom>
              <a:srgbClr val="F5F5F5"/>
            </a:clrFrom>
            <a:clrTo>
              <a:srgbClr val="F5F5F5">
                <a:alpha val="0"/>
              </a:srgbClr>
            </a:clrTo>
          </a:clrChange>
        </a:blip>
        <a:stretch>
          <a:fillRect/>
        </a:stretch>
      </xdr:blipFill>
      <xdr:spPr>
        <a:xfrm>
          <a:off x="4533900" y="4457700"/>
          <a:ext cx="14097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19050</xdr:colOff>
      <xdr:row>50</xdr:row>
      <xdr:rowOff>19050</xdr:rowOff>
    </xdr:from>
    <xdr:to>
      <xdr:col>32</xdr:col>
      <xdr:colOff>57150</xdr:colOff>
      <xdr:row>66</xdr:row>
      <xdr:rowOff>66675</xdr:rowOff>
    </xdr:to>
    <xdr:pic>
      <xdr:nvPicPr>
        <xdr:cNvPr id="1" name="Picture 83"/>
        <xdr:cNvPicPr preferRelativeResize="1">
          <a:picLocks noChangeAspect="1"/>
        </xdr:cNvPicPr>
      </xdr:nvPicPr>
      <xdr:blipFill>
        <a:blip r:embed="rId1">
          <a:clrChange>
            <a:clrFrom>
              <a:srgbClr val="FAF9F7"/>
            </a:clrFrom>
            <a:clrTo>
              <a:srgbClr val="FAF9F7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791075"/>
          <a:ext cx="11239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56"/>
  <sheetViews>
    <sheetView zoomScale="75" zoomScaleNormal="75" workbookViewId="0" topLeftCell="X83">
      <selection activeCell="Z531" sqref="Z531"/>
    </sheetView>
  </sheetViews>
  <sheetFormatPr defaultColWidth="9.140625" defaultRowHeight="12.75"/>
  <cols>
    <col min="1" max="1" width="22.8515625" style="78" bestFit="1" customWidth="1"/>
    <col min="2" max="4" width="9.140625" style="78" customWidth="1"/>
    <col min="5" max="5" width="18.140625" style="78" customWidth="1"/>
    <col min="6" max="9" width="9.140625" style="78" customWidth="1"/>
    <col min="10" max="10" width="9.57421875" style="78" customWidth="1"/>
    <col min="11" max="11" width="15.8515625" style="78" bestFit="1" customWidth="1"/>
    <col min="12" max="12" width="9.140625" style="78" customWidth="1"/>
    <col min="13" max="13" width="12.28125" style="78" bestFit="1" customWidth="1"/>
    <col min="14" max="14" width="16.00390625" style="78" bestFit="1" customWidth="1"/>
    <col min="15" max="15" width="22.8515625" style="78" bestFit="1" customWidth="1"/>
    <col min="16" max="17" width="15.7109375" style="78" customWidth="1"/>
    <col min="18" max="18" width="18.57421875" style="78" customWidth="1"/>
    <col min="19" max="19" width="15.7109375" style="78" customWidth="1"/>
    <col min="20" max="20" width="18.28125" style="78" customWidth="1"/>
    <col min="21" max="21" width="19.8515625" style="78" customWidth="1"/>
    <col min="22" max="22" width="15.7109375" style="78" customWidth="1"/>
    <col min="23" max="23" width="20.8515625" style="78" customWidth="1"/>
    <col min="24" max="24" width="18.140625" style="78" customWidth="1"/>
    <col min="25" max="25" width="9.140625" style="78" customWidth="1"/>
    <col min="26" max="26" width="27.28125" style="78" customWidth="1"/>
    <col min="27" max="28" width="9.140625" style="78" customWidth="1"/>
    <col min="29" max="29" width="11.28125" style="78" customWidth="1"/>
    <col min="30" max="34" width="9.140625" style="78" customWidth="1"/>
    <col min="35" max="35" width="9.8515625" style="78" customWidth="1"/>
    <col min="36" max="36" width="13.00390625" style="78" customWidth="1"/>
    <col min="37" max="37" width="20.00390625" style="78" customWidth="1"/>
    <col min="38" max="16384" width="9.140625" style="78" customWidth="1"/>
  </cols>
  <sheetData>
    <row r="1" spans="1:32" ht="12.75">
      <c r="A1" s="187" t="s">
        <v>217</v>
      </c>
      <c r="B1" s="187"/>
      <c r="C1" s="187"/>
      <c r="E1" s="78">
        <v>1</v>
      </c>
      <c r="F1" s="1">
        <v>1</v>
      </c>
      <c r="G1" s="1">
        <v>1</v>
      </c>
      <c r="H1" s="1">
        <v>1</v>
      </c>
      <c r="I1" s="1">
        <v>1</v>
      </c>
      <c r="J1" s="1">
        <v>1</v>
      </c>
      <c r="K1" s="1">
        <v>1</v>
      </c>
      <c r="L1" s="1"/>
      <c r="M1" s="1" t="s">
        <v>132</v>
      </c>
      <c r="N1" s="1" t="s">
        <v>131</v>
      </c>
      <c r="O1" s="1" t="s">
        <v>130</v>
      </c>
      <c r="P1" s="1" t="s">
        <v>133</v>
      </c>
      <c r="Q1" s="1" t="s">
        <v>134</v>
      </c>
      <c r="R1" s="1" t="s">
        <v>135</v>
      </c>
      <c r="S1" s="1" t="s">
        <v>136</v>
      </c>
      <c r="T1" s="1" t="s">
        <v>144</v>
      </c>
      <c r="U1" s="1" t="s">
        <v>147</v>
      </c>
      <c r="V1" s="186" t="s">
        <v>1185</v>
      </c>
      <c r="W1" s="186"/>
      <c r="X1" s="186" t="s">
        <v>224</v>
      </c>
      <c r="Y1" s="186"/>
      <c r="Z1" s="186" t="s">
        <v>225</v>
      </c>
      <c r="AA1" s="186"/>
      <c r="AB1" s="186" t="s">
        <v>226</v>
      </c>
      <c r="AC1" s="186"/>
      <c r="AD1" s="186" t="s">
        <v>227</v>
      </c>
      <c r="AE1" s="186"/>
      <c r="AF1" s="78" t="s">
        <v>1175</v>
      </c>
    </row>
    <row r="2" spans="1:38" ht="12.75">
      <c r="A2" s="1" t="s">
        <v>218</v>
      </c>
      <c r="B2" s="1" t="s">
        <v>219</v>
      </c>
      <c r="C2" s="1" t="s">
        <v>220</v>
      </c>
      <c r="E2" s="80" t="s">
        <v>125</v>
      </c>
      <c r="F2" s="81" t="s">
        <v>10</v>
      </c>
      <c r="G2" s="81" t="s">
        <v>10</v>
      </c>
      <c r="H2" s="81" t="s">
        <v>10</v>
      </c>
      <c r="I2" s="81" t="s">
        <v>10</v>
      </c>
      <c r="J2" s="81" t="s">
        <v>10</v>
      </c>
      <c r="K2" s="81" t="s">
        <v>10</v>
      </c>
      <c r="L2" s="81" t="s">
        <v>10</v>
      </c>
      <c r="M2" s="82">
        <v>0.1</v>
      </c>
      <c r="N2" s="1" t="s">
        <v>56</v>
      </c>
      <c r="O2" s="1">
        <v>3</v>
      </c>
      <c r="P2" s="82">
        <v>0</v>
      </c>
      <c r="Q2" s="82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82">
        <v>0</v>
      </c>
      <c r="X2" s="1">
        <v>0</v>
      </c>
      <c r="Y2" s="82">
        <v>0</v>
      </c>
      <c r="Z2" s="1">
        <v>0</v>
      </c>
      <c r="AA2" s="82">
        <v>0</v>
      </c>
      <c r="AB2" s="1">
        <v>0</v>
      </c>
      <c r="AC2" s="82">
        <v>0</v>
      </c>
      <c r="AD2" s="1">
        <v>0</v>
      </c>
      <c r="AE2" s="82">
        <v>0</v>
      </c>
      <c r="AF2" s="101">
        <v>5</v>
      </c>
      <c r="AG2" s="101">
        <v>5</v>
      </c>
      <c r="AH2" s="101">
        <v>5</v>
      </c>
      <c r="AI2" s="101">
        <v>5</v>
      </c>
      <c r="AJ2" s="101">
        <v>5</v>
      </c>
      <c r="AK2" s="101">
        <v>5</v>
      </c>
      <c r="AL2" s="101">
        <v>5</v>
      </c>
    </row>
    <row r="3" spans="1:38" ht="12.75">
      <c r="A3" s="78">
        <v>0</v>
      </c>
      <c r="B3" s="1">
        <v>1</v>
      </c>
      <c r="C3" s="78">
        <v>0</v>
      </c>
      <c r="E3" s="80" t="s">
        <v>126</v>
      </c>
      <c r="F3" s="83" t="s">
        <v>12</v>
      </c>
      <c r="G3" s="83" t="s">
        <v>25</v>
      </c>
      <c r="H3" s="83" t="s">
        <v>10</v>
      </c>
      <c r="I3" s="83" t="s">
        <v>139</v>
      </c>
      <c r="J3" s="83" t="s">
        <v>140</v>
      </c>
      <c r="K3" s="83" t="s">
        <v>11</v>
      </c>
      <c r="L3" s="83" t="s">
        <v>14</v>
      </c>
      <c r="M3" s="82">
        <v>0</v>
      </c>
      <c r="N3" s="1" t="s">
        <v>56</v>
      </c>
      <c r="O3" s="1">
        <v>4</v>
      </c>
      <c r="P3" s="82">
        <v>0.1</v>
      </c>
      <c r="Q3" s="82">
        <v>0.4</v>
      </c>
      <c r="R3" s="1">
        <v>0</v>
      </c>
      <c r="S3" s="1">
        <v>0</v>
      </c>
      <c r="T3" s="1">
        <v>-5</v>
      </c>
      <c r="U3" s="1">
        <v>0</v>
      </c>
      <c r="V3" s="1">
        <v>0</v>
      </c>
      <c r="W3" s="82">
        <v>0.1</v>
      </c>
      <c r="X3" s="1">
        <v>0</v>
      </c>
      <c r="Y3" s="82">
        <v>0</v>
      </c>
      <c r="Z3" s="1">
        <v>0</v>
      </c>
      <c r="AA3" s="82">
        <v>0</v>
      </c>
      <c r="AB3" s="1">
        <v>0</v>
      </c>
      <c r="AC3" s="82">
        <v>0</v>
      </c>
      <c r="AD3" s="1">
        <v>0</v>
      </c>
      <c r="AE3" s="82">
        <v>0</v>
      </c>
      <c r="AF3" s="101">
        <v>3</v>
      </c>
      <c r="AG3" s="101">
        <v>8</v>
      </c>
      <c r="AH3" s="101">
        <v>5</v>
      </c>
      <c r="AI3" s="101">
        <v>4</v>
      </c>
      <c r="AJ3" s="101">
        <v>6</v>
      </c>
      <c r="AK3" s="101">
        <v>4</v>
      </c>
      <c r="AL3" s="101">
        <v>7</v>
      </c>
    </row>
    <row r="4" spans="1:38" ht="12.75">
      <c r="A4" s="78">
        <v>1000</v>
      </c>
      <c r="B4" s="1">
        <v>2</v>
      </c>
      <c r="C4" s="78">
        <v>1000</v>
      </c>
      <c r="E4" s="80" t="s">
        <v>249</v>
      </c>
      <c r="F4" s="83" t="s">
        <v>20</v>
      </c>
      <c r="G4" s="83" t="s">
        <v>10</v>
      </c>
      <c r="H4" s="83" t="s">
        <v>17</v>
      </c>
      <c r="I4" s="83" t="s">
        <v>11</v>
      </c>
      <c r="J4" s="81" t="s">
        <v>15</v>
      </c>
      <c r="K4" s="83" t="s">
        <v>11</v>
      </c>
      <c r="L4" s="83" t="s">
        <v>10</v>
      </c>
      <c r="M4" s="82">
        <v>0.2</v>
      </c>
      <c r="N4" s="1" t="s">
        <v>143</v>
      </c>
      <c r="O4" s="1">
        <v>4</v>
      </c>
      <c r="P4" s="82">
        <v>0.2</v>
      </c>
      <c r="Q4" s="82">
        <v>0.1</v>
      </c>
      <c r="R4" s="1">
        <v>2</v>
      </c>
      <c r="S4" s="1">
        <v>0</v>
      </c>
      <c r="T4" s="1">
        <v>10</v>
      </c>
      <c r="U4" s="1">
        <v>0</v>
      </c>
      <c r="V4" s="1">
        <v>5</v>
      </c>
      <c r="W4" s="82">
        <v>0.25</v>
      </c>
      <c r="X4" s="1">
        <v>2</v>
      </c>
      <c r="Y4" s="82">
        <v>0.1</v>
      </c>
      <c r="Z4" s="1">
        <v>5</v>
      </c>
      <c r="AA4" s="82">
        <v>0.15</v>
      </c>
      <c r="AB4" s="1">
        <v>2</v>
      </c>
      <c r="AC4" s="82">
        <v>0.1</v>
      </c>
      <c r="AD4" s="1">
        <v>3</v>
      </c>
      <c r="AE4" s="82">
        <v>0.1</v>
      </c>
      <c r="AF4" s="101">
        <v>7</v>
      </c>
      <c r="AG4" s="101">
        <v>5</v>
      </c>
      <c r="AH4" s="101">
        <v>5</v>
      </c>
      <c r="AI4" s="101">
        <v>5</v>
      </c>
      <c r="AJ4" s="101">
        <v>5</v>
      </c>
      <c r="AK4" s="101">
        <v>3</v>
      </c>
      <c r="AL4" s="101">
        <v>5</v>
      </c>
    </row>
    <row r="5" spans="1:38" ht="12.75">
      <c r="A5" s="78">
        <v>3000</v>
      </c>
      <c r="B5" s="1">
        <v>3</v>
      </c>
      <c r="C5" s="78">
        <v>3000</v>
      </c>
      <c r="E5" s="80" t="s">
        <v>251</v>
      </c>
      <c r="F5" s="83" t="s">
        <v>14</v>
      </c>
      <c r="G5" s="83" t="s">
        <v>10</v>
      </c>
      <c r="H5" s="83" t="s">
        <v>20</v>
      </c>
      <c r="I5" s="83" t="s">
        <v>11</v>
      </c>
      <c r="J5" s="81" t="s">
        <v>11</v>
      </c>
      <c r="K5" s="83" t="s">
        <v>11</v>
      </c>
      <c r="L5" s="83" t="s">
        <v>10</v>
      </c>
      <c r="M5" s="82">
        <v>0.2</v>
      </c>
      <c r="N5" s="1" t="s">
        <v>143</v>
      </c>
      <c r="O5" s="1">
        <v>4</v>
      </c>
      <c r="P5" s="82">
        <v>0.2</v>
      </c>
      <c r="Q5" s="82">
        <v>0.1</v>
      </c>
      <c r="R5" s="1">
        <v>2</v>
      </c>
      <c r="S5" s="1">
        <v>0</v>
      </c>
      <c r="T5" s="1">
        <v>10</v>
      </c>
      <c r="U5" s="1">
        <v>0</v>
      </c>
      <c r="V5" s="1">
        <v>5</v>
      </c>
      <c r="W5" s="82">
        <v>0.25</v>
      </c>
      <c r="X5" s="1">
        <v>2</v>
      </c>
      <c r="Y5" s="82">
        <v>0.1</v>
      </c>
      <c r="Z5" s="1">
        <v>5</v>
      </c>
      <c r="AA5" s="82">
        <v>0.15</v>
      </c>
      <c r="AB5" s="1">
        <v>2</v>
      </c>
      <c r="AC5" s="82">
        <v>0.1</v>
      </c>
      <c r="AD5" s="1">
        <v>3</v>
      </c>
      <c r="AE5" s="82">
        <v>0.1</v>
      </c>
      <c r="AF5" s="101">
        <v>8</v>
      </c>
      <c r="AG5" s="101">
        <v>5</v>
      </c>
      <c r="AH5" s="101">
        <v>6</v>
      </c>
      <c r="AI5" s="101">
        <v>5</v>
      </c>
      <c r="AJ5" s="101">
        <v>3</v>
      </c>
      <c r="AK5" s="101">
        <v>3</v>
      </c>
      <c r="AL5" s="101">
        <v>5</v>
      </c>
    </row>
    <row r="6" spans="1:38" ht="12.75">
      <c r="A6" s="78">
        <v>6000</v>
      </c>
      <c r="B6" s="1">
        <v>4</v>
      </c>
      <c r="C6" s="78">
        <v>6000</v>
      </c>
      <c r="E6" s="80" t="s">
        <v>250</v>
      </c>
      <c r="F6" s="83" t="s">
        <v>17</v>
      </c>
      <c r="G6" s="83" t="s">
        <v>10</v>
      </c>
      <c r="H6" s="83" t="s">
        <v>18</v>
      </c>
      <c r="I6" s="83" t="s">
        <v>10</v>
      </c>
      <c r="J6" s="83" t="s">
        <v>10</v>
      </c>
      <c r="K6" s="81" t="s">
        <v>11</v>
      </c>
      <c r="L6" s="83" t="s">
        <v>10</v>
      </c>
      <c r="M6" s="82">
        <v>0.15</v>
      </c>
      <c r="N6" s="1" t="s">
        <v>145</v>
      </c>
      <c r="O6" s="1">
        <v>3</v>
      </c>
      <c r="P6" s="82">
        <v>0.15</v>
      </c>
      <c r="Q6" s="82">
        <v>0.15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82">
        <v>0</v>
      </c>
      <c r="X6" s="1">
        <v>0</v>
      </c>
      <c r="Y6" s="82">
        <v>0</v>
      </c>
      <c r="Z6" s="1">
        <v>0</v>
      </c>
      <c r="AA6" s="82">
        <v>0</v>
      </c>
      <c r="AB6" s="1">
        <v>0</v>
      </c>
      <c r="AC6" s="82">
        <v>0</v>
      </c>
      <c r="AD6" s="1">
        <v>0</v>
      </c>
      <c r="AE6" s="82">
        <v>0</v>
      </c>
      <c r="AF6" s="101">
        <v>5</v>
      </c>
      <c r="AG6" s="101">
        <v>5</v>
      </c>
      <c r="AH6" s="101">
        <v>5</v>
      </c>
      <c r="AI6" s="101">
        <v>5</v>
      </c>
      <c r="AJ6" s="101">
        <v>5</v>
      </c>
      <c r="AK6" s="101">
        <v>5</v>
      </c>
      <c r="AL6" s="101">
        <v>5</v>
      </c>
    </row>
    <row r="7" spans="1:38" ht="12.75">
      <c r="A7" s="78">
        <v>10000</v>
      </c>
      <c r="B7" s="1">
        <v>5</v>
      </c>
      <c r="C7" s="78">
        <v>10000</v>
      </c>
      <c r="E7" s="80" t="s">
        <v>127</v>
      </c>
      <c r="F7" s="83" t="s">
        <v>19</v>
      </c>
      <c r="G7" s="83" t="s">
        <v>13</v>
      </c>
      <c r="H7" s="83" t="s">
        <v>21</v>
      </c>
      <c r="I7" s="83" t="s">
        <v>22</v>
      </c>
      <c r="J7" s="83" t="s">
        <v>23</v>
      </c>
      <c r="K7" s="83" t="s">
        <v>24</v>
      </c>
      <c r="L7" s="83" t="s">
        <v>10</v>
      </c>
      <c r="M7" s="82">
        <v>0.2</v>
      </c>
      <c r="N7" s="1" t="s">
        <v>146</v>
      </c>
      <c r="O7" s="1">
        <v>4</v>
      </c>
      <c r="P7" s="82">
        <v>0.1</v>
      </c>
      <c r="Q7" s="82">
        <v>0.05</v>
      </c>
      <c r="R7" s="1">
        <v>2</v>
      </c>
      <c r="S7" s="1">
        <v>5</v>
      </c>
      <c r="T7" s="1">
        <v>15</v>
      </c>
      <c r="U7" s="1">
        <v>0</v>
      </c>
      <c r="V7" s="1">
        <v>5</v>
      </c>
      <c r="W7" s="82">
        <v>0.15</v>
      </c>
      <c r="X7" s="1">
        <v>3</v>
      </c>
      <c r="Y7" s="82">
        <v>0.1</v>
      </c>
      <c r="Z7" s="1">
        <v>0</v>
      </c>
      <c r="AA7" s="82">
        <v>0</v>
      </c>
      <c r="AB7" s="1">
        <v>3</v>
      </c>
      <c r="AC7" s="82">
        <v>0.1</v>
      </c>
      <c r="AD7" s="1">
        <v>2</v>
      </c>
      <c r="AE7" s="82">
        <v>0.1</v>
      </c>
      <c r="AF7" s="101">
        <v>8</v>
      </c>
      <c r="AG7" s="101">
        <v>7</v>
      </c>
      <c r="AH7" s="101">
        <v>5</v>
      </c>
      <c r="AI7" s="101">
        <v>1</v>
      </c>
      <c r="AJ7" s="101">
        <v>1</v>
      </c>
      <c r="AK7" s="101">
        <v>9</v>
      </c>
      <c r="AL7" s="101">
        <v>4</v>
      </c>
    </row>
    <row r="8" spans="1:38" ht="12.75">
      <c r="A8" s="78">
        <v>15000</v>
      </c>
      <c r="B8" s="1">
        <v>6</v>
      </c>
      <c r="C8" s="78">
        <v>15000</v>
      </c>
      <c r="E8" s="80" t="s">
        <v>128</v>
      </c>
      <c r="F8" s="83" t="s">
        <v>16</v>
      </c>
      <c r="G8" s="83" t="s">
        <v>25</v>
      </c>
      <c r="H8" s="83" t="s">
        <v>12</v>
      </c>
      <c r="I8" s="83" t="s">
        <v>26</v>
      </c>
      <c r="J8" s="83" t="s">
        <v>22</v>
      </c>
      <c r="K8" s="83" t="s">
        <v>27</v>
      </c>
      <c r="L8" s="83" t="s">
        <v>10</v>
      </c>
      <c r="M8" s="82">
        <v>0.1</v>
      </c>
      <c r="N8" s="1" t="s">
        <v>56</v>
      </c>
      <c r="O8" s="1">
        <v>2</v>
      </c>
      <c r="P8" s="82">
        <v>0</v>
      </c>
      <c r="Q8" s="82">
        <v>0</v>
      </c>
      <c r="R8" s="1">
        <v>0</v>
      </c>
      <c r="S8" s="1">
        <v>0</v>
      </c>
      <c r="T8" s="1">
        <v>-7</v>
      </c>
      <c r="U8" s="1">
        <v>0</v>
      </c>
      <c r="V8" s="1">
        <v>0</v>
      </c>
      <c r="W8" s="82">
        <v>0</v>
      </c>
      <c r="X8" s="1">
        <v>0</v>
      </c>
      <c r="Y8" s="82">
        <v>0</v>
      </c>
      <c r="Z8" s="1">
        <v>0</v>
      </c>
      <c r="AA8" s="82">
        <v>0</v>
      </c>
      <c r="AB8" s="1">
        <v>0</v>
      </c>
      <c r="AC8" s="82">
        <v>0</v>
      </c>
      <c r="AD8" s="1">
        <v>0</v>
      </c>
      <c r="AE8" s="82">
        <v>0</v>
      </c>
      <c r="AF8" s="101">
        <v>3</v>
      </c>
      <c r="AG8" s="101">
        <v>7</v>
      </c>
      <c r="AH8" s="101">
        <v>3</v>
      </c>
      <c r="AI8" s="101">
        <v>3</v>
      </c>
      <c r="AJ8" s="101">
        <v>2</v>
      </c>
      <c r="AK8" s="101">
        <v>7</v>
      </c>
      <c r="AL8" s="101">
        <v>5</v>
      </c>
    </row>
    <row r="9" spans="1:38" ht="12.75">
      <c r="A9" s="78">
        <v>21000</v>
      </c>
      <c r="B9" s="1">
        <v>7</v>
      </c>
      <c r="C9" s="78">
        <v>21000</v>
      </c>
      <c r="E9" s="80" t="s">
        <v>252</v>
      </c>
      <c r="F9" s="83" t="s">
        <v>28</v>
      </c>
      <c r="G9" s="83" t="s">
        <v>28</v>
      </c>
      <c r="H9" s="83" t="s">
        <v>28</v>
      </c>
      <c r="I9" s="83" t="s">
        <v>29</v>
      </c>
      <c r="J9" s="81" t="s">
        <v>30</v>
      </c>
      <c r="K9" s="83" t="s">
        <v>30</v>
      </c>
      <c r="L9" s="83" t="s">
        <v>31</v>
      </c>
      <c r="M9" s="82">
        <v>-0.5</v>
      </c>
      <c r="N9" s="1" t="s">
        <v>137</v>
      </c>
      <c r="O9" s="1" t="s">
        <v>138</v>
      </c>
      <c r="P9" s="82">
        <v>1</v>
      </c>
      <c r="Q9" s="82">
        <v>1</v>
      </c>
      <c r="R9" s="1">
        <v>0</v>
      </c>
      <c r="S9" s="1">
        <v>0</v>
      </c>
      <c r="T9" s="1">
        <v>-15</v>
      </c>
      <c r="U9" s="1">
        <v>5</v>
      </c>
      <c r="V9" s="1">
        <v>16</v>
      </c>
      <c r="W9" s="82">
        <v>0.5</v>
      </c>
      <c r="X9" s="1">
        <v>4</v>
      </c>
      <c r="Y9" s="82">
        <v>0.15</v>
      </c>
      <c r="Z9" s="1">
        <v>20</v>
      </c>
      <c r="AA9" s="82">
        <v>0.55</v>
      </c>
      <c r="AB9" s="1">
        <v>4</v>
      </c>
      <c r="AC9" s="82">
        <v>0.15</v>
      </c>
      <c r="AD9" s="1">
        <v>4</v>
      </c>
      <c r="AE9" s="82">
        <v>0.15</v>
      </c>
      <c r="AF9" s="101">
        <v>7</v>
      </c>
      <c r="AG9" s="101">
        <v>7</v>
      </c>
      <c r="AH9" s="101">
        <v>7</v>
      </c>
      <c r="AI9" s="101">
        <v>1</v>
      </c>
      <c r="AJ9" s="101">
        <v>5</v>
      </c>
      <c r="AK9" s="101">
        <v>5</v>
      </c>
      <c r="AL9" s="101">
        <v>5</v>
      </c>
    </row>
    <row r="10" spans="1:38" ht="12.75">
      <c r="A10" s="78">
        <v>28000</v>
      </c>
      <c r="B10" s="1">
        <v>8</v>
      </c>
      <c r="C10" s="78">
        <v>28000</v>
      </c>
      <c r="E10" s="1" t="str">
        <f>IF(Разное!AN14="","Не выбрана",Разное!AN14)</f>
        <v>Не выбрана</v>
      </c>
      <c r="F10" s="95">
        <f>Разное!AK28</f>
        <v>0</v>
      </c>
      <c r="G10" s="95">
        <f>Разное!AK30</f>
        <v>0</v>
      </c>
      <c r="H10" s="95">
        <f>Разное!AK32</f>
        <v>0</v>
      </c>
      <c r="I10" s="102">
        <f>Разное!AK34</f>
        <v>0</v>
      </c>
      <c r="J10" s="102">
        <f>Разное!AK36</f>
        <v>0</v>
      </c>
      <c r="K10" s="102">
        <f>Разное!AK38</f>
        <v>0</v>
      </c>
      <c r="L10" s="102">
        <f>Разное!AK40</f>
        <v>0</v>
      </c>
      <c r="M10" s="84">
        <f>Разное!BL27</f>
        <v>0</v>
      </c>
      <c r="N10" s="78">
        <f>Разное!BR27</f>
        <v>0</v>
      </c>
      <c r="O10" s="84">
        <f>Разное!BN20</f>
        <v>0</v>
      </c>
      <c r="P10" s="84">
        <f>Разное!AY27</f>
        <v>0</v>
      </c>
      <c r="Q10" s="84">
        <f>Разное!BE27</f>
        <v>0</v>
      </c>
      <c r="R10" s="78">
        <f>Разное!BN18</f>
        <v>0</v>
      </c>
      <c r="S10" s="78">
        <f>Разное!BN24</f>
        <v>0</v>
      </c>
      <c r="T10" s="78">
        <f>Разное!BN16</f>
        <v>0</v>
      </c>
      <c r="U10" s="78">
        <f>Разное!BN22</f>
        <v>0</v>
      </c>
      <c r="V10" s="1">
        <f>Разное!BR16</f>
        <v>0</v>
      </c>
      <c r="W10" s="82">
        <f>Разное!BT16</f>
        <v>0</v>
      </c>
      <c r="X10" s="1">
        <f>Разное!BR18</f>
        <v>0</v>
      </c>
      <c r="Y10" s="82">
        <f>Разное!BT18</f>
        <v>0</v>
      </c>
      <c r="Z10" s="1">
        <f>Разное!BR20</f>
        <v>0</v>
      </c>
      <c r="AA10" s="82">
        <f>Разное!BT20</f>
        <v>0</v>
      </c>
      <c r="AB10" s="1">
        <f>Разное!BR22</f>
        <v>0</v>
      </c>
      <c r="AC10" s="82">
        <f>Разное!BT22</f>
        <v>0</v>
      </c>
      <c r="AD10" s="1">
        <f>Разное!BR24</f>
        <v>0</v>
      </c>
      <c r="AE10" s="82">
        <f>Разное!BT24</f>
        <v>0</v>
      </c>
      <c r="AF10" s="78">
        <f>Разное!AN28</f>
        <v>0</v>
      </c>
      <c r="AG10" s="78">
        <f>Разное!AN30</f>
        <v>0</v>
      </c>
      <c r="AH10" s="78">
        <f>Разное!AN32</f>
        <v>0</v>
      </c>
      <c r="AI10" s="78">
        <f>Разное!AN34</f>
        <v>0</v>
      </c>
      <c r="AJ10" s="78">
        <f>Разное!AN36</f>
        <v>0</v>
      </c>
      <c r="AK10" s="78">
        <f>Разное!AN38</f>
        <v>0</v>
      </c>
      <c r="AL10" s="78">
        <f>Разное!AN40</f>
        <v>0</v>
      </c>
    </row>
    <row r="11" spans="1:38" ht="12.75">
      <c r="A11" s="78">
        <v>36000</v>
      </c>
      <c r="B11" s="1">
        <v>9</v>
      </c>
      <c r="C11" s="78">
        <v>36000</v>
      </c>
      <c r="E11" s="149"/>
      <c r="F11" s="1" t="s">
        <v>114</v>
      </c>
      <c r="G11" s="1" t="s">
        <v>115</v>
      </c>
      <c r="H11" s="1" t="s">
        <v>116</v>
      </c>
      <c r="I11" s="1" t="s">
        <v>117</v>
      </c>
      <c r="J11" s="1" t="s">
        <v>118</v>
      </c>
      <c r="K11" s="1" t="s">
        <v>119</v>
      </c>
      <c r="L11" s="1" t="s">
        <v>120</v>
      </c>
      <c r="M11" s="82"/>
      <c r="N11" s="78">
        <v>12</v>
      </c>
      <c r="O11" s="1">
        <v>16</v>
      </c>
      <c r="P11" s="89">
        <v>17</v>
      </c>
      <c r="Q11" s="89">
        <v>20</v>
      </c>
      <c r="R11" s="1">
        <v>23</v>
      </c>
      <c r="AF11" s="78" t="s">
        <v>258</v>
      </c>
      <c r="AG11" s="78" t="s">
        <v>115</v>
      </c>
      <c r="AH11" s="78" t="s">
        <v>116</v>
      </c>
      <c r="AI11" s="78" t="s">
        <v>117</v>
      </c>
      <c r="AJ11" s="78" t="s">
        <v>118</v>
      </c>
      <c r="AK11" s="78" t="s">
        <v>119</v>
      </c>
      <c r="AL11" s="78" t="s">
        <v>120</v>
      </c>
    </row>
    <row r="12" spans="1:21" ht="12.75">
      <c r="A12" s="78">
        <v>45000</v>
      </c>
      <c r="B12" s="1">
        <v>10</v>
      </c>
      <c r="C12" s="78">
        <v>45000</v>
      </c>
      <c r="D12" s="78" t="s">
        <v>141</v>
      </c>
      <c r="E12" s="1" t="s">
        <v>114</v>
      </c>
      <c r="F12" s="1" t="s">
        <v>129</v>
      </c>
      <c r="G12" s="2" t="s">
        <v>142</v>
      </c>
      <c r="H12" s="1" t="s">
        <v>116</v>
      </c>
      <c r="I12" s="1" t="s">
        <v>152</v>
      </c>
      <c r="K12" s="1" t="s">
        <v>73</v>
      </c>
      <c r="L12" s="84" t="s">
        <v>93</v>
      </c>
      <c r="M12" s="1" t="s">
        <v>153</v>
      </c>
      <c r="N12" s="1" t="s">
        <v>166</v>
      </c>
      <c r="O12" s="1" t="s">
        <v>170</v>
      </c>
      <c r="P12" s="1" t="s">
        <v>171</v>
      </c>
      <c r="Q12" s="1" t="s">
        <v>54</v>
      </c>
      <c r="R12" s="1" t="s">
        <v>55</v>
      </c>
      <c r="S12" s="1" t="s">
        <v>215</v>
      </c>
      <c r="T12" s="1" t="s">
        <v>216</v>
      </c>
      <c r="U12" s="1" t="s">
        <v>75</v>
      </c>
    </row>
    <row r="13" spans="1:21" ht="12.75">
      <c r="A13" s="78">
        <v>55000</v>
      </c>
      <c r="B13" s="1">
        <v>11</v>
      </c>
      <c r="C13" s="78">
        <v>55000</v>
      </c>
      <c r="E13" s="78">
        <v>1</v>
      </c>
      <c r="F13" s="78">
        <v>1</v>
      </c>
      <c r="H13" s="78">
        <v>1</v>
      </c>
      <c r="I13" s="78">
        <v>1</v>
      </c>
      <c r="K13" s="78" t="s">
        <v>32</v>
      </c>
      <c r="L13" s="1" t="b">
        <v>0</v>
      </c>
      <c r="M13" s="78">
        <f>IF(L13=TRUE,20,0)</f>
        <v>0</v>
      </c>
      <c r="N13" s="78">
        <v>-10</v>
      </c>
      <c r="O13" s="78">
        <v>10</v>
      </c>
      <c r="P13" s="78">
        <v>-10</v>
      </c>
      <c r="Q13" s="78">
        <v>0</v>
      </c>
      <c r="R13" s="78">
        <v>-20</v>
      </c>
      <c r="S13" s="78">
        <f>IF(OR(F28=N11,F28=O11,F28=P11,F28=Q11,F28=R11),HLOOKUP(F28,N11:R13,3,FALSE),0)</f>
        <v>0</v>
      </c>
      <c r="T13" s="78">
        <f>IF(OR(F29=N11,F29=O11,F29=P11,F29=Q11,F29=R11),HLOOKUP(F29,N11:R13,3,FALSE),0)</f>
        <v>0</v>
      </c>
      <c r="U13" s="78">
        <f>SUM(S13:T13)</f>
        <v>0</v>
      </c>
    </row>
    <row r="14" spans="1:21" ht="12.75">
      <c r="A14" s="78">
        <v>66000</v>
      </c>
      <c r="B14" s="1">
        <v>12</v>
      </c>
      <c r="C14" s="78">
        <v>66000</v>
      </c>
      <c r="E14" s="78">
        <v>2</v>
      </c>
      <c r="F14" s="78">
        <v>1</v>
      </c>
      <c r="H14" s="78">
        <v>2</v>
      </c>
      <c r="I14" s="78">
        <v>1</v>
      </c>
      <c r="K14" s="78" t="s">
        <v>33</v>
      </c>
      <c r="L14" s="1" t="b">
        <v>0</v>
      </c>
      <c r="M14" s="78">
        <f aca="true" t="shared" si="0" ref="M14:M31">IF(L14=TRUE,20,0)</f>
        <v>0</v>
      </c>
      <c r="N14" s="78">
        <v>-10</v>
      </c>
      <c r="O14" s="78">
        <v>10</v>
      </c>
      <c r="P14" s="78">
        <v>-10</v>
      </c>
      <c r="Q14" s="78">
        <v>0</v>
      </c>
      <c r="R14" s="78">
        <v>0</v>
      </c>
      <c r="S14" s="78">
        <f>IF(OR(F28=N11,F28=O11,F28=P11,F28=Q11,F28=R11),HLOOKUP(F28,N11:R14,4,FALSE),0)</f>
        <v>0</v>
      </c>
      <c r="T14" s="78">
        <f>IF(OR(F29=N11,F29=O11,F29=P11,F29=Q11,F29=R11),HLOOKUP(F29,N11:R14,3,FALSE),0)</f>
        <v>0</v>
      </c>
      <c r="U14" s="78">
        <f aca="true" t="shared" si="1" ref="U14:U31">SUM(S14:T14)</f>
        <v>0</v>
      </c>
    </row>
    <row r="15" spans="1:21" ht="12.75">
      <c r="A15" s="78">
        <v>78000</v>
      </c>
      <c r="B15" s="1">
        <v>13</v>
      </c>
      <c r="C15" s="78">
        <v>78000</v>
      </c>
      <c r="E15" s="78">
        <v>3</v>
      </c>
      <c r="F15" s="78">
        <v>1</v>
      </c>
      <c r="H15" s="78">
        <v>3</v>
      </c>
      <c r="I15" s="78">
        <v>1</v>
      </c>
      <c r="K15" s="78" t="s">
        <v>34</v>
      </c>
      <c r="L15" s="1" t="b">
        <v>0</v>
      </c>
      <c r="M15" s="78">
        <f t="shared" si="0"/>
        <v>0</v>
      </c>
      <c r="N15" s="78">
        <v>-10</v>
      </c>
      <c r="O15" s="78">
        <v>10</v>
      </c>
      <c r="P15" s="78">
        <v>-10</v>
      </c>
      <c r="Q15" s="78">
        <v>0</v>
      </c>
      <c r="R15" s="78">
        <v>0</v>
      </c>
      <c r="S15" s="78">
        <f>IF(OR(F28=N11,F28=O11,F28=P11,F28=Q11,F28=R11),HLOOKUP(F28,N11:R15,5,FALSE),0)</f>
        <v>0</v>
      </c>
      <c r="T15" s="78">
        <f>IF(OR(F29=N11,F29=O11,F29=P11,F29=Q11,F29=R11),HLOOKUP(F29,N11:R15,3,FALSE),0)</f>
        <v>0</v>
      </c>
      <c r="U15" s="78">
        <f t="shared" si="1"/>
        <v>0</v>
      </c>
    </row>
    <row r="16" spans="1:21" ht="12.75">
      <c r="A16" s="78">
        <v>91000</v>
      </c>
      <c r="B16" s="1">
        <v>14</v>
      </c>
      <c r="C16" s="78">
        <v>91000</v>
      </c>
      <c r="E16" s="78">
        <v>4</v>
      </c>
      <c r="F16" s="78">
        <v>1</v>
      </c>
      <c r="H16" s="78">
        <v>4</v>
      </c>
      <c r="I16" s="78">
        <v>1</v>
      </c>
      <c r="K16" s="78" t="s">
        <v>35</v>
      </c>
      <c r="L16" s="1" t="b">
        <v>0</v>
      </c>
      <c r="M16" s="78">
        <f t="shared" si="0"/>
        <v>0</v>
      </c>
      <c r="N16" s="78">
        <v>-10</v>
      </c>
      <c r="O16" s="78">
        <v>10</v>
      </c>
      <c r="P16" s="78">
        <v>-10</v>
      </c>
      <c r="Q16" s="78">
        <v>0</v>
      </c>
      <c r="R16" s="78">
        <v>20</v>
      </c>
      <c r="S16" s="78">
        <f>IF(OR(F28=N11,F28=O11,F28=P11,F28=Q11,F28=R11),HLOOKUP(F28,N11:R16,6,FALSE),0)</f>
        <v>0</v>
      </c>
      <c r="T16" s="78">
        <f>IF(OR(F29=N11,F29=O11,F29=P11,F29=Q11,F29=R11),HLOOKUP(F29,N11:R16,3,FALSE),0)</f>
        <v>0</v>
      </c>
      <c r="U16" s="78">
        <f t="shared" si="1"/>
        <v>0</v>
      </c>
    </row>
    <row r="17" spans="1:36" ht="12.75">
      <c r="A17" s="78">
        <v>105000</v>
      </c>
      <c r="B17" s="1">
        <v>15</v>
      </c>
      <c r="C17" s="78">
        <v>105000</v>
      </c>
      <c r="E17" s="78">
        <v>5</v>
      </c>
      <c r="F17" s="78">
        <v>1</v>
      </c>
      <c r="H17" s="78">
        <v>5</v>
      </c>
      <c r="I17" s="78">
        <v>1</v>
      </c>
      <c r="K17" s="78" t="s">
        <v>0</v>
      </c>
      <c r="L17" s="1" t="b">
        <v>0</v>
      </c>
      <c r="M17" s="78">
        <f t="shared" si="0"/>
        <v>0</v>
      </c>
      <c r="N17" s="78">
        <v>-10</v>
      </c>
      <c r="O17" s="78">
        <v>10</v>
      </c>
      <c r="P17" s="78">
        <v>-10</v>
      </c>
      <c r="Q17" s="78">
        <v>0</v>
      </c>
      <c r="R17" s="78">
        <v>0</v>
      </c>
      <c r="S17" s="78">
        <f>IF(OR(F28=N11,F28=O11,F28=P11,F28=Q11,F28=R11),HLOOKUP(F28,N11:R17,7,FALSE),0)</f>
        <v>0</v>
      </c>
      <c r="T17" s="78">
        <f>IF(OR(F29=N11,F29=O11,F29=P11,F29=Q11,F29=R11),HLOOKUP(F29,N11:R17,3,FALSE),0)</f>
        <v>0</v>
      </c>
      <c r="U17" s="78">
        <f t="shared" si="1"/>
        <v>0</v>
      </c>
      <c r="Z17" s="185" t="s">
        <v>97</v>
      </c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</row>
    <row r="18" spans="1:26" ht="12.75">
      <c r="A18" s="78">
        <v>120000</v>
      </c>
      <c r="B18" s="1">
        <v>16</v>
      </c>
      <c r="C18" s="78">
        <v>120000</v>
      </c>
      <c r="E18" s="78">
        <v>6</v>
      </c>
      <c r="F18" s="78">
        <v>1</v>
      </c>
      <c r="H18" s="78">
        <v>6</v>
      </c>
      <c r="I18" s="78">
        <v>2</v>
      </c>
      <c r="K18" s="78" t="s">
        <v>1</v>
      </c>
      <c r="L18" s="1" t="b">
        <v>0</v>
      </c>
      <c r="M18" s="78">
        <f t="shared" si="0"/>
        <v>0</v>
      </c>
      <c r="N18" s="78">
        <v>0</v>
      </c>
      <c r="O18" s="78">
        <v>10</v>
      </c>
      <c r="P18" s="78">
        <v>-10</v>
      </c>
      <c r="Q18" s="78">
        <v>0</v>
      </c>
      <c r="R18" s="78">
        <v>0</v>
      </c>
      <c r="S18" s="78">
        <f>IF(OR(F28=N11,F28=O11,F28=P11,F28=Q11,F28=R11),HLOOKUP(F28,N11:R18,8,FALSE),0)</f>
        <v>0</v>
      </c>
      <c r="T18" s="78">
        <f>IF(OR(F29=N11,F29=O11,F29=P11,F29=Q11,F29=R11),HLOOKUP(F29,N11:R18,3,FALSE),0)</f>
        <v>0</v>
      </c>
      <c r="U18" s="78">
        <f t="shared" si="1"/>
        <v>0</v>
      </c>
      <c r="Y18" s="78" t="s">
        <v>331</v>
      </c>
      <c r="Z18" s="2"/>
    </row>
    <row r="19" spans="1:40" ht="12.75">
      <c r="A19" s="78">
        <v>136000</v>
      </c>
      <c r="B19" s="1">
        <v>17</v>
      </c>
      <c r="C19" s="78">
        <v>136000</v>
      </c>
      <c r="E19" s="78">
        <v>7</v>
      </c>
      <c r="F19" s="78">
        <v>2</v>
      </c>
      <c r="H19" s="78">
        <v>7</v>
      </c>
      <c r="I19" s="78">
        <v>2</v>
      </c>
      <c r="K19" s="78" t="s">
        <v>36</v>
      </c>
      <c r="L19" s="1" t="b">
        <v>0</v>
      </c>
      <c r="M19" s="78">
        <f t="shared" si="0"/>
        <v>0</v>
      </c>
      <c r="N19" s="78">
        <v>20</v>
      </c>
      <c r="O19" s="78">
        <v>10</v>
      </c>
      <c r="P19" s="78">
        <v>-10</v>
      </c>
      <c r="Q19" s="78">
        <v>0</v>
      </c>
      <c r="R19" s="78">
        <v>-20</v>
      </c>
      <c r="S19" s="78">
        <f>IF(OR(F28=N11,F28=O11,F28=P11,F28=Q11,F28=R11),HLOOKUP(F28,N11:R19,9,FALSE),0)</f>
        <v>0</v>
      </c>
      <c r="T19" s="78">
        <f>IF(OR(F29=N11,F29=O11,F29=P11,F29=Q11,F29=R11),HLOOKUP(F29,N11:R19,3,FALSE),0)</f>
        <v>0</v>
      </c>
      <c r="U19" s="78">
        <f t="shared" si="1"/>
        <v>0</v>
      </c>
      <c r="Z19" s="78" t="s">
        <v>330</v>
      </c>
      <c r="AA19" s="1" t="s">
        <v>258</v>
      </c>
      <c r="AB19" s="1" t="s">
        <v>332</v>
      </c>
      <c r="AC19" s="1" t="s">
        <v>333</v>
      </c>
      <c r="AD19" s="1" t="s">
        <v>334</v>
      </c>
      <c r="AE19" s="1" t="s">
        <v>335</v>
      </c>
      <c r="AF19" s="1" t="s">
        <v>336</v>
      </c>
      <c r="AG19" s="1" t="s">
        <v>337</v>
      </c>
      <c r="AH19" s="1" t="s">
        <v>338</v>
      </c>
      <c r="AI19" s="1" t="s">
        <v>339</v>
      </c>
      <c r="AJ19" s="1" t="s">
        <v>722</v>
      </c>
      <c r="AK19" s="78" t="s">
        <v>763</v>
      </c>
      <c r="AL19" s="1" t="s">
        <v>944</v>
      </c>
      <c r="AN19" s="86" t="s">
        <v>932</v>
      </c>
    </row>
    <row r="20" spans="1:64" ht="12.75">
      <c r="A20" s="78">
        <v>153000</v>
      </c>
      <c r="B20" s="1">
        <v>18</v>
      </c>
      <c r="C20" s="78">
        <v>153000</v>
      </c>
      <c r="E20" s="78">
        <v>8</v>
      </c>
      <c r="F20" s="78">
        <v>3</v>
      </c>
      <c r="H20" s="78">
        <v>8</v>
      </c>
      <c r="I20" s="78">
        <v>2</v>
      </c>
      <c r="K20" s="78" t="s">
        <v>37</v>
      </c>
      <c r="L20" s="1" t="b">
        <v>0</v>
      </c>
      <c r="M20" s="78">
        <f t="shared" si="0"/>
        <v>0</v>
      </c>
      <c r="N20" s="78">
        <v>20</v>
      </c>
      <c r="O20" s="78">
        <v>10</v>
      </c>
      <c r="P20" s="78">
        <v>-10</v>
      </c>
      <c r="Q20" s="78">
        <v>0</v>
      </c>
      <c r="R20" s="78">
        <v>-20</v>
      </c>
      <c r="S20" s="78">
        <f>IF(OR(F28=N11,F28=O11,F28=P11,F28=Q11,F28=R11),HLOOKUP(F28,N11:R20,10,FALSE),0)</f>
        <v>0</v>
      </c>
      <c r="T20" s="78">
        <f>IF(OR(F29=N11,F29=O11,F29=P11,F29=Q11,F29=R11),HLOOKUP(F29,N11:R20,3,FALSE),0)</f>
        <v>0</v>
      </c>
      <c r="U20" s="78">
        <f t="shared" si="1"/>
        <v>0</v>
      </c>
      <c r="Z20" s="78" t="s">
        <v>151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N20" s="78" t="s">
        <v>933</v>
      </c>
      <c r="AR20" s="78" t="s">
        <v>934</v>
      </c>
      <c r="AV20" s="78" t="s">
        <v>935</v>
      </c>
      <c r="AZ20" s="78" t="s">
        <v>936</v>
      </c>
      <c r="BD20" s="78" t="s">
        <v>937</v>
      </c>
      <c r="BH20" s="78" t="s">
        <v>938</v>
      </c>
      <c r="BL20" s="78" t="s">
        <v>939</v>
      </c>
    </row>
    <row r="21" spans="1:67" ht="12.75">
      <c r="A21" s="78">
        <v>171000</v>
      </c>
      <c r="B21" s="1">
        <v>19</v>
      </c>
      <c r="C21" s="78">
        <v>171000</v>
      </c>
      <c r="E21" s="78">
        <v>9</v>
      </c>
      <c r="F21" s="78">
        <v>4</v>
      </c>
      <c r="H21" s="78">
        <v>9</v>
      </c>
      <c r="I21" s="78">
        <v>3</v>
      </c>
      <c r="K21" s="78" t="s">
        <v>2</v>
      </c>
      <c r="L21" s="1" t="b">
        <v>0</v>
      </c>
      <c r="M21" s="78">
        <f t="shared" si="0"/>
        <v>0</v>
      </c>
      <c r="N21" s="78">
        <v>0</v>
      </c>
      <c r="O21" s="78">
        <v>10</v>
      </c>
      <c r="P21" s="78">
        <v>-10</v>
      </c>
      <c r="Q21" s="78">
        <v>0</v>
      </c>
      <c r="R21" s="78">
        <v>0</v>
      </c>
      <c r="S21" s="78">
        <f>IF(OR(F28=N11,F28=O11,F28=P11,F28=Q11,F28=R11),HLOOKUP(F28,N11:R21,11,FALSE),0)</f>
        <v>0</v>
      </c>
      <c r="T21" s="78">
        <f>IF(OR(F29=N11,F29=O11,F29=P11,F29=Q11,F29=R11),HLOOKUP(F29,N11:R21,3,FALSE),0)</f>
        <v>0</v>
      </c>
      <c r="U21" s="78">
        <f t="shared" si="1"/>
        <v>0</v>
      </c>
      <c r="Y21" s="78">
        <v>1</v>
      </c>
      <c r="Z21" s="87" t="s">
        <v>1046</v>
      </c>
      <c r="AA21" s="1"/>
      <c r="AB21" s="1"/>
      <c r="AC21" s="1"/>
      <c r="AD21" s="1"/>
      <c r="AE21" s="1"/>
      <c r="AF21" s="1"/>
      <c r="AG21" s="1"/>
      <c r="AH21" s="1"/>
      <c r="AI21" s="1"/>
      <c r="AN21" s="78" t="s">
        <v>940</v>
      </c>
      <c r="AO21" s="1">
        <f>SUM(AO22:AO31)</f>
        <v>0</v>
      </c>
      <c r="AP21" s="78" t="s">
        <v>941</v>
      </c>
      <c r="AQ21" s="1">
        <f>SUM(AQ22:AQ31)</f>
        <v>0</v>
      </c>
      <c r="AR21" s="78" t="s">
        <v>940</v>
      </c>
      <c r="AS21" s="1">
        <f>SUM(AS22:AS31)</f>
        <v>0</v>
      </c>
      <c r="AT21" s="78" t="s">
        <v>941</v>
      </c>
      <c r="AU21" s="1">
        <f>SUM(AU22:AU31)</f>
        <v>0</v>
      </c>
      <c r="AV21" s="78" t="s">
        <v>940</v>
      </c>
      <c r="AW21" s="1">
        <f>SUM(AW22:AW31)</f>
        <v>0</v>
      </c>
      <c r="AX21" s="78" t="s">
        <v>941</v>
      </c>
      <c r="AY21" s="1">
        <f>SUM(AY22:AY31)</f>
        <v>0</v>
      </c>
      <c r="AZ21" s="78" t="s">
        <v>940</v>
      </c>
      <c r="BA21" s="1">
        <f>SUM(BA22:BA31)</f>
        <v>0</v>
      </c>
      <c r="BB21" s="78" t="s">
        <v>941</v>
      </c>
      <c r="BC21" s="1">
        <f>SUM(BC22:BC31)</f>
        <v>0</v>
      </c>
      <c r="BD21" s="78" t="s">
        <v>940</v>
      </c>
      <c r="BE21" s="1">
        <f>SUM(BE22:BE31)</f>
        <v>0</v>
      </c>
      <c r="BF21" s="78" t="s">
        <v>941</v>
      </c>
      <c r="BG21" s="1">
        <f>SUM(BG22:BG31)</f>
        <v>0</v>
      </c>
      <c r="BH21" s="78" t="s">
        <v>940</v>
      </c>
      <c r="BI21" s="1">
        <f>SUM(BI22:BI31)</f>
        <v>0</v>
      </c>
      <c r="BJ21" s="78" t="s">
        <v>941</v>
      </c>
      <c r="BK21" s="1">
        <f>SUM(BK22:BK31)</f>
        <v>0</v>
      </c>
      <c r="BL21" s="78" t="s">
        <v>940</v>
      </c>
      <c r="BM21" s="1">
        <f>SUM(BM22:BM31)</f>
        <v>0</v>
      </c>
      <c r="BN21" s="78" t="s">
        <v>941</v>
      </c>
      <c r="BO21" s="1">
        <f>SUM(BO22:BO31)</f>
        <v>0</v>
      </c>
    </row>
    <row r="22" spans="1:67" ht="12.75">
      <c r="A22" s="78">
        <v>190000</v>
      </c>
      <c r="B22" s="1">
        <v>20</v>
      </c>
      <c r="C22" s="78">
        <v>190000</v>
      </c>
      <c r="E22" s="78">
        <v>10</v>
      </c>
      <c r="F22" s="78">
        <v>5</v>
      </c>
      <c r="H22" s="78">
        <v>10</v>
      </c>
      <c r="I22" s="78">
        <v>3</v>
      </c>
      <c r="K22" s="78" t="s">
        <v>38</v>
      </c>
      <c r="L22" s="1" t="b">
        <v>0</v>
      </c>
      <c r="M22" s="78">
        <f t="shared" si="0"/>
        <v>0</v>
      </c>
      <c r="N22" s="78">
        <v>0</v>
      </c>
      <c r="O22" s="78">
        <v>10</v>
      </c>
      <c r="P22" s="78">
        <v>-10</v>
      </c>
      <c r="Q22" s="78">
        <v>15</v>
      </c>
      <c r="R22" s="78">
        <v>-20</v>
      </c>
      <c r="S22" s="78">
        <f>IF(OR(F28=N11,F28=O11,F28=P11,F28=Q11,F28=R11),HLOOKUP(F28,N11:R22,12,FALSE),0)</f>
        <v>0</v>
      </c>
      <c r="T22" s="78">
        <f>IF(OR(F29=N11,F29=O11,F29=P11,F29=Q11,F29=R11),HLOOKUP(F29,N11:R22,3,FALSE),0)</f>
        <v>0</v>
      </c>
      <c r="U22" s="78">
        <f t="shared" si="1"/>
        <v>0</v>
      </c>
      <c r="Y22" s="78">
        <v>1</v>
      </c>
      <c r="Z22" s="78" t="s">
        <v>340</v>
      </c>
      <c r="AA22" s="1">
        <v>1</v>
      </c>
      <c r="AB22" s="1" t="s">
        <v>285</v>
      </c>
      <c r="AC22" s="88" t="s">
        <v>342</v>
      </c>
      <c r="AD22" s="1">
        <v>1</v>
      </c>
      <c r="AE22" s="1">
        <v>2</v>
      </c>
      <c r="AF22" s="1">
        <v>3</v>
      </c>
      <c r="AG22" s="1" t="s">
        <v>285</v>
      </c>
      <c r="AH22" s="1" t="s">
        <v>285</v>
      </c>
      <c r="AI22" s="1" t="s">
        <v>285</v>
      </c>
      <c r="AJ22" s="1" t="s">
        <v>285</v>
      </c>
      <c r="AL22" s="78">
        <v>4</v>
      </c>
      <c r="AN22" s="78" t="b">
        <v>0</v>
      </c>
      <c r="AO22" s="1">
        <f>IF(AN22=FALSE,0,1)</f>
        <v>0</v>
      </c>
      <c r="AP22" s="1" t="b">
        <v>0</v>
      </c>
      <c r="AQ22" s="1">
        <f>IF(AP22=FALSE,0,1)</f>
        <v>0</v>
      </c>
      <c r="AR22" s="78" t="b">
        <v>0</v>
      </c>
      <c r="AS22" s="1">
        <f aca="true" t="shared" si="2" ref="AS22:AS31">IF(AR22=FALSE,0,1)</f>
        <v>0</v>
      </c>
      <c r="AT22" s="1" t="b">
        <v>0</v>
      </c>
      <c r="AU22" s="1">
        <f aca="true" t="shared" si="3" ref="AU22:AU31">IF(AT22=FALSE,0,1)</f>
        <v>0</v>
      </c>
      <c r="AV22" s="78" t="b">
        <v>0</v>
      </c>
      <c r="AW22" s="1">
        <f aca="true" t="shared" si="4" ref="AW22:AW31">IF(AV22=FALSE,0,1)</f>
        <v>0</v>
      </c>
      <c r="AX22" s="1" t="b">
        <v>0</v>
      </c>
      <c r="AY22" s="1">
        <f aca="true" t="shared" si="5" ref="AY22:AY31">IF(AX22=FALSE,0,1)</f>
        <v>0</v>
      </c>
      <c r="AZ22" s="78" t="b">
        <v>0</v>
      </c>
      <c r="BA22" s="1">
        <f aca="true" t="shared" si="6" ref="BA22:BA31">IF(AZ22=FALSE,0,1)</f>
        <v>0</v>
      </c>
      <c r="BB22" s="1" t="b">
        <v>0</v>
      </c>
      <c r="BC22" s="1">
        <f aca="true" t="shared" si="7" ref="BC22:BC31">IF(BB22=FALSE,0,1)</f>
        <v>0</v>
      </c>
      <c r="BD22" s="78" t="b">
        <v>0</v>
      </c>
      <c r="BE22" s="1">
        <f aca="true" t="shared" si="8" ref="BE22:BE31">IF(BD22=FALSE,0,1)</f>
        <v>0</v>
      </c>
      <c r="BF22" s="1" t="b">
        <v>0</v>
      </c>
      <c r="BG22" s="1">
        <f aca="true" t="shared" si="9" ref="BG22:BG31">IF(BF22=FALSE,0,1)</f>
        <v>0</v>
      </c>
      <c r="BH22" s="78" t="b">
        <v>0</v>
      </c>
      <c r="BI22" s="1">
        <f aca="true" t="shared" si="10" ref="BI22:BI31">IF(BH22=FALSE,0,1)</f>
        <v>0</v>
      </c>
      <c r="BJ22" s="1" t="b">
        <v>0</v>
      </c>
      <c r="BK22" s="1">
        <f aca="true" t="shared" si="11" ref="BK22:BK31">IF(BJ22=FALSE,0,1)</f>
        <v>0</v>
      </c>
      <c r="BL22" s="78" t="b">
        <v>0</v>
      </c>
      <c r="BM22" s="1">
        <f aca="true" t="shared" si="12" ref="BM22:BM31">IF(BL22=FALSE,0,1)</f>
        <v>0</v>
      </c>
      <c r="BN22" s="1" t="b">
        <v>0</v>
      </c>
      <c r="BO22" s="1">
        <f aca="true" t="shared" si="13" ref="BO22:BO31">IF(BN22=FALSE,0,1)</f>
        <v>0</v>
      </c>
    </row>
    <row r="23" spans="1:67" ht="12.75">
      <c r="A23" s="78">
        <v>210000</v>
      </c>
      <c r="B23" s="1">
        <v>21</v>
      </c>
      <c r="C23" s="78">
        <v>210000</v>
      </c>
      <c r="E23" s="78">
        <v>11</v>
      </c>
      <c r="F23" s="78">
        <v>5</v>
      </c>
      <c r="H23" s="78">
        <v>11</v>
      </c>
      <c r="I23" s="78">
        <v>3</v>
      </c>
      <c r="K23" s="78" t="s">
        <v>3</v>
      </c>
      <c r="L23" s="1" t="b">
        <v>0</v>
      </c>
      <c r="M23" s="78">
        <f t="shared" si="0"/>
        <v>0</v>
      </c>
      <c r="N23" s="78">
        <v>0</v>
      </c>
      <c r="O23" s="78">
        <v>10</v>
      </c>
      <c r="P23" s="78">
        <v>-10</v>
      </c>
      <c r="Q23" s="78">
        <v>0</v>
      </c>
      <c r="R23" s="78">
        <v>0</v>
      </c>
      <c r="S23" s="78">
        <f>IF(OR(F28=N11,F28=O11,F28=P11,F28=Q11,F28=R11),HLOOKUP(F28,N11:R23,13,FALSE),0)</f>
        <v>0</v>
      </c>
      <c r="T23" s="78">
        <f>IF(OR(F29=N11,F29=O11,F29=P11,F29=Q11,F29=R11),HLOOKUP(F29,N11:R23,3,FALSE),0)</f>
        <v>0</v>
      </c>
      <c r="U23" s="78">
        <f t="shared" si="1"/>
        <v>0</v>
      </c>
      <c r="Y23" s="78">
        <v>1</v>
      </c>
      <c r="Z23" s="78" t="s">
        <v>341</v>
      </c>
      <c r="AA23" s="1">
        <v>1</v>
      </c>
      <c r="AB23" s="1" t="s">
        <v>285</v>
      </c>
      <c r="AC23" s="88" t="s">
        <v>342</v>
      </c>
      <c r="AD23" s="1">
        <v>1</v>
      </c>
      <c r="AE23" s="1">
        <v>3</v>
      </c>
      <c r="AF23" s="1">
        <v>4</v>
      </c>
      <c r="AG23" s="1" t="s">
        <v>285</v>
      </c>
      <c r="AH23" s="1" t="s">
        <v>285</v>
      </c>
      <c r="AI23" s="1" t="s">
        <v>285</v>
      </c>
      <c r="AJ23" s="1" t="s">
        <v>285</v>
      </c>
      <c r="AL23" s="78">
        <v>4</v>
      </c>
      <c r="AN23" s="78" t="b">
        <v>0</v>
      </c>
      <c r="AO23" s="1">
        <f aca="true" t="shared" si="14" ref="AO23:AQ31">IF(AN23=FALSE,0,1)</f>
        <v>0</v>
      </c>
      <c r="AP23" s="1" t="b">
        <v>0</v>
      </c>
      <c r="AQ23" s="1">
        <f t="shared" si="14"/>
        <v>0</v>
      </c>
      <c r="AR23" s="78" t="b">
        <v>0</v>
      </c>
      <c r="AS23" s="1">
        <f t="shared" si="2"/>
        <v>0</v>
      </c>
      <c r="AT23" s="1" t="b">
        <v>0</v>
      </c>
      <c r="AU23" s="1">
        <f t="shared" si="3"/>
        <v>0</v>
      </c>
      <c r="AV23" s="78" t="b">
        <v>0</v>
      </c>
      <c r="AW23" s="1">
        <f t="shared" si="4"/>
        <v>0</v>
      </c>
      <c r="AX23" s="1" t="b">
        <v>0</v>
      </c>
      <c r="AY23" s="1">
        <f t="shared" si="5"/>
        <v>0</v>
      </c>
      <c r="AZ23" s="78" t="b">
        <v>0</v>
      </c>
      <c r="BA23" s="1">
        <f t="shared" si="6"/>
        <v>0</v>
      </c>
      <c r="BB23" s="1" t="b">
        <v>0</v>
      </c>
      <c r="BC23" s="1">
        <f t="shared" si="7"/>
        <v>0</v>
      </c>
      <c r="BD23" s="78" t="b">
        <v>0</v>
      </c>
      <c r="BE23" s="1">
        <f t="shared" si="8"/>
        <v>0</v>
      </c>
      <c r="BF23" s="1" t="b">
        <v>0</v>
      </c>
      <c r="BG23" s="1">
        <f t="shared" si="9"/>
        <v>0</v>
      </c>
      <c r="BH23" s="78" t="b">
        <v>0</v>
      </c>
      <c r="BI23" s="1">
        <f t="shared" si="10"/>
        <v>0</v>
      </c>
      <c r="BJ23" s="1" t="b">
        <v>0</v>
      </c>
      <c r="BK23" s="1">
        <f t="shared" si="11"/>
        <v>0</v>
      </c>
      <c r="BL23" s="78" t="b">
        <v>0</v>
      </c>
      <c r="BM23" s="1">
        <f t="shared" si="12"/>
        <v>0</v>
      </c>
      <c r="BN23" s="1" t="b">
        <v>0</v>
      </c>
      <c r="BO23" s="1">
        <f t="shared" si="13"/>
        <v>0</v>
      </c>
    </row>
    <row r="24" spans="1:67" ht="12.75">
      <c r="A24" s="78">
        <v>250000</v>
      </c>
      <c r="B24" s="1">
        <v>22</v>
      </c>
      <c r="C24" s="78">
        <v>250000</v>
      </c>
      <c r="E24" s="78">
        <v>12</v>
      </c>
      <c r="F24" s="78">
        <v>5</v>
      </c>
      <c r="H24" s="78">
        <v>12</v>
      </c>
      <c r="I24" s="78">
        <v>3</v>
      </c>
      <c r="K24" s="78" t="s">
        <v>4</v>
      </c>
      <c r="L24" s="1" t="b">
        <v>0</v>
      </c>
      <c r="M24" s="78">
        <f t="shared" si="0"/>
        <v>0</v>
      </c>
      <c r="N24" s="78">
        <v>0</v>
      </c>
      <c r="O24" s="78">
        <v>10</v>
      </c>
      <c r="P24" s="78">
        <v>-10</v>
      </c>
      <c r="Q24" s="78">
        <v>0</v>
      </c>
      <c r="R24" s="78">
        <v>0</v>
      </c>
      <c r="S24" s="78">
        <f>IF(OR(F28=N11,F28=O11,F28=P11,F28=Q11,F28=R11),HLOOKUP(F28,N11:R24,14,FALSE),0)</f>
        <v>0</v>
      </c>
      <c r="T24" s="78">
        <f>IF(OR(F29=N11,F29=O11,F29=P11,F29=Q11,F29=R11),HLOOKUP(F29,N11:R24,3,FALSE),0)</f>
        <v>0</v>
      </c>
      <c r="U24" s="78">
        <f t="shared" si="1"/>
        <v>0</v>
      </c>
      <c r="Y24" s="78">
        <v>1</v>
      </c>
      <c r="Z24" s="78" t="s">
        <v>343</v>
      </c>
      <c r="AA24" s="1">
        <v>1</v>
      </c>
      <c r="AB24" s="1">
        <v>1</v>
      </c>
      <c r="AC24" s="88" t="s">
        <v>708</v>
      </c>
      <c r="AD24" s="1">
        <v>1</v>
      </c>
      <c r="AE24" s="1">
        <v>3</v>
      </c>
      <c r="AF24" s="1">
        <v>4</v>
      </c>
      <c r="AG24" s="1" t="s">
        <v>285</v>
      </c>
      <c r="AH24" s="1" t="s">
        <v>285</v>
      </c>
      <c r="AI24" s="1" t="s">
        <v>285</v>
      </c>
      <c r="AJ24" s="1">
        <v>40</v>
      </c>
      <c r="AL24" s="78">
        <v>4</v>
      </c>
      <c r="AN24" s="78" t="b">
        <v>0</v>
      </c>
      <c r="AO24" s="1">
        <f t="shared" si="14"/>
        <v>0</v>
      </c>
      <c r="AP24" s="1" t="b">
        <v>0</v>
      </c>
      <c r="AQ24" s="1">
        <f t="shared" si="14"/>
        <v>0</v>
      </c>
      <c r="AR24" s="78" t="b">
        <v>0</v>
      </c>
      <c r="AS24" s="1">
        <f t="shared" si="2"/>
        <v>0</v>
      </c>
      <c r="AT24" s="1" t="b">
        <v>0</v>
      </c>
      <c r="AU24" s="1">
        <f t="shared" si="3"/>
        <v>0</v>
      </c>
      <c r="AV24" s="78" t="b">
        <v>0</v>
      </c>
      <c r="AW24" s="1">
        <f t="shared" si="4"/>
        <v>0</v>
      </c>
      <c r="AX24" s="1" t="b">
        <v>0</v>
      </c>
      <c r="AY24" s="1">
        <f t="shared" si="5"/>
        <v>0</v>
      </c>
      <c r="AZ24" s="78" t="b">
        <v>0</v>
      </c>
      <c r="BA24" s="1">
        <f t="shared" si="6"/>
        <v>0</v>
      </c>
      <c r="BB24" s="1" t="b">
        <v>0</v>
      </c>
      <c r="BC24" s="1">
        <f t="shared" si="7"/>
        <v>0</v>
      </c>
      <c r="BD24" s="78" t="b">
        <v>0</v>
      </c>
      <c r="BE24" s="1">
        <f t="shared" si="8"/>
        <v>0</v>
      </c>
      <c r="BF24" s="1" t="b">
        <v>0</v>
      </c>
      <c r="BG24" s="1">
        <f t="shared" si="9"/>
        <v>0</v>
      </c>
      <c r="BH24" s="78" t="b">
        <v>0</v>
      </c>
      <c r="BI24" s="1">
        <f t="shared" si="10"/>
        <v>0</v>
      </c>
      <c r="BJ24" s="1" t="b">
        <v>0</v>
      </c>
      <c r="BK24" s="1">
        <f t="shared" si="11"/>
        <v>0</v>
      </c>
      <c r="BL24" s="78" t="b">
        <v>0</v>
      </c>
      <c r="BM24" s="1">
        <f t="shared" si="12"/>
        <v>0</v>
      </c>
      <c r="BN24" s="1" t="b">
        <v>0</v>
      </c>
      <c r="BO24" s="1">
        <f t="shared" si="13"/>
        <v>0</v>
      </c>
    </row>
    <row r="25" spans="1:67" ht="12.75">
      <c r="A25" s="78">
        <v>290000</v>
      </c>
      <c r="B25" s="1">
        <v>23</v>
      </c>
      <c r="C25" s="78">
        <v>290000</v>
      </c>
      <c r="E25" s="78">
        <v>13</v>
      </c>
      <c r="F25" s="78">
        <v>5</v>
      </c>
      <c r="H25" s="78">
        <v>13</v>
      </c>
      <c r="I25" s="78">
        <v>3</v>
      </c>
      <c r="K25" s="78" t="s">
        <v>39</v>
      </c>
      <c r="L25" s="1" t="b">
        <v>0</v>
      </c>
      <c r="M25" s="78">
        <f t="shared" si="0"/>
        <v>0</v>
      </c>
      <c r="N25" s="78">
        <v>0</v>
      </c>
      <c r="O25" s="78">
        <v>10</v>
      </c>
      <c r="P25" s="78">
        <v>-10</v>
      </c>
      <c r="Q25" s="78">
        <v>15</v>
      </c>
      <c r="R25" s="78">
        <v>-20</v>
      </c>
      <c r="S25" s="78">
        <f>IF(OR(F28=N11,F28=O11,F28=P11,F28=Q11,F28=R11),HLOOKUP(F28,N11:R25,15,FALSE),0)</f>
        <v>0</v>
      </c>
      <c r="T25" s="78">
        <f>IF(OR(F29=N11,F29=O11,F29=P11,F29=Q11,F29=R11),HLOOKUP(F29,N11:R25,3,FALSE),0)</f>
        <v>0</v>
      </c>
      <c r="U25" s="78">
        <f t="shared" si="1"/>
        <v>0</v>
      </c>
      <c r="Y25" s="78">
        <v>1</v>
      </c>
      <c r="Z25" s="78" t="s">
        <v>344</v>
      </c>
      <c r="AA25" s="1">
        <v>1</v>
      </c>
      <c r="AB25" s="1">
        <v>1</v>
      </c>
      <c r="AC25" s="88" t="s">
        <v>709</v>
      </c>
      <c r="AD25" s="1">
        <v>1</v>
      </c>
      <c r="AE25" s="1">
        <v>3</v>
      </c>
      <c r="AF25" s="1">
        <v>4</v>
      </c>
      <c r="AG25" s="1" t="s">
        <v>285</v>
      </c>
      <c r="AH25" s="1" t="s">
        <v>285</v>
      </c>
      <c r="AI25" s="1" t="s">
        <v>285</v>
      </c>
      <c r="AJ25" s="1">
        <v>75</v>
      </c>
      <c r="AL25" s="78">
        <v>4</v>
      </c>
      <c r="AN25" s="78" t="b">
        <v>0</v>
      </c>
      <c r="AO25" s="1">
        <f t="shared" si="14"/>
        <v>0</v>
      </c>
      <c r="AP25" s="1" t="b">
        <v>0</v>
      </c>
      <c r="AQ25" s="1">
        <f t="shared" si="14"/>
        <v>0</v>
      </c>
      <c r="AR25" s="78" t="b">
        <v>0</v>
      </c>
      <c r="AS25" s="1">
        <f t="shared" si="2"/>
        <v>0</v>
      </c>
      <c r="AT25" s="1" t="b">
        <v>0</v>
      </c>
      <c r="AU25" s="1">
        <f t="shared" si="3"/>
        <v>0</v>
      </c>
      <c r="AV25" s="78" t="b">
        <v>0</v>
      </c>
      <c r="AW25" s="1">
        <f t="shared" si="4"/>
        <v>0</v>
      </c>
      <c r="AX25" s="1" t="b">
        <v>0</v>
      </c>
      <c r="AY25" s="1">
        <f t="shared" si="5"/>
        <v>0</v>
      </c>
      <c r="AZ25" s="78" t="b">
        <v>0</v>
      </c>
      <c r="BA25" s="1">
        <f t="shared" si="6"/>
        <v>0</v>
      </c>
      <c r="BB25" s="1" t="b">
        <v>0</v>
      </c>
      <c r="BC25" s="1">
        <f t="shared" si="7"/>
        <v>0</v>
      </c>
      <c r="BD25" s="78" t="b">
        <v>0</v>
      </c>
      <c r="BE25" s="1">
        <f t="shared" si="8"/>
        <v>0</v>
      </c>
      <c r="BF25" s="1" t="b">
        <v>0</v>
      </c>
      <c r="BG25" s="1">
        <f t="shared" si="9"/>
        <v>0</v>
      </c>
      <c r="BH25" s="78" t="b">
        <v>0</v>
      </c>
      <c r="BI25" s="1">
        <f t="shared" si="10"/>
        <v>0</v>
      </c>
      <c r="BJ25" s="1" t="b">
        <v>0</v>
      </c>
      <c r="BK25" s="1">
        <f t="shared" si="11"/>
        <v>0</v>
      </c>
      <c r="BL25" s="78" t="b">
        <v>0</v>
      </c>
      <c r="BM25" s="1">
        <f t="shared" si="12"/>
        <v>0</v>
      </c>
      <c r="BN25" s="1" t="b">
        <v>0</v>
      </c>
      <c r="BO25" s="1">
        <f t="shared" si="13"/>
        <v>0</v>
      </c>
    </row>
    <row r="26" spans="1:67" ht="12.75">
      <c r="A26" s="78">
        <v>330000</v>
      </c>
      <c r="B26" s="1">
        <v>24</v>
      </c>
      <c r="C26" s="78">
        <v>330000</v>
      </c>
      <c r="E26" s="78">
        <v>14</v>
      </c>
      <c r="F26" s="78">
        <v>5</v>
      </c>
      <c r="K26" s="78" t="s">
        <v>5</v>
      </c>
      <c r="L26" s="1" t="b">
        <v>0</v>
      </c>
      <c r="M26" s="78">
        <f t="shared" si="0"/>
        <v>0</v>
      </c>
      <c r="N26" s="78">
        <v>0</v>
      </c>
      <c r="O26" s="78">
        <v>10</v>
      </c>
      <c r="P26" s="78">
        <v>-10</v>
      </c>
      <c r="Q26" s="78">
        <v>15</v>
      </c>
      <c r="R26" s="78">
        <v>-20</v>
      </c>
      <c r="S26" s="78">
        <f>IF(OR(F28=N11,F28=O11,F28=P11,F28=Q11,F28=R11),HLOOKUP(F28,N11:R26,16,FALSE),0)</f>
        <v>0</v>
      </c>
      <c r="T26" s="78">
        <f>IF(OR(F29=N11,F29=O11,F29=P11,F29=Q11,F29=R11),HLOOKUP(F29,N11:R26,3,FALSE),0)</f>
        <v>0</v>
      </c>
      <c r="U26" s="78">
        <f t="shared" si="1"/>
        <v>0</v>
      </c>
      <c r="Y26" s="78">
        <v>1</v>
      </c>
      <c r="Z26" s="78" t="s">
        <v>345</v>
      </c>
      <c r="AA26" s="1">
        <v>3</v>
      </c>
      <c r="AB26" s="1">
        <v>4</v>
      </c>
      <c r="AC26" s="88" t="s">
        <v>710</v>
      </c>
      <c r="AD26" s="1">
        <v>1</v>
      </c>
      <c r="AE26" s="1">
        <v>3</v>
      </c>
      <c r="AF26" s="1">
        <v>4</v>
      </c>
      <c r="AG26" s="1" t="s">
        <v>285</v>
      </c>
      <c r="AH26" s="1" t="s">
        <v>285</v>
      </c>
      <c r="AI26" s="1" t="s">
        <v>285</v>
      </c>
      <c r="AJ26" s="1">
        <v>80</v>
      </c>
      <c r="AL26" s="78">
        <v>4</v>
      </c>
      <c r="AN26" s="78" t="b">
        <v>0</v>
      </c>
      <c r="AO26" s="1">
        <f t="shared" si="14"/>
        <v>0</v>
      </c>
      <c r="AP26" s="1" t="b">
        <v>0</v>
      </c>
      <c r="AQ26" s="1">
        <f t="shared" si="14"/>
        <v>0</v>
      </c>
      <c r="AR26" s="78" t="b">
        <v>0</v>
      </c>
      <c r="AS26" s="1">
        <f t="shared" si="2"/>
        <v>0</v>
      </c>
      <c r="AT26" s="1" t="b">
        <v>0</v>
      </c>
      <c r="AU26" s="1">
        <f t="shared" si="3"/>
        <v>0</v>
      </c>
      <c r="AV26" s="78" t="b">
        <v>0</v>
      </c>
      <c r="AW26" s="1">
        <f t="shared" si="4"/>
        <v>0</v>
      </c>
      <c r="AX26" s="1" t="b">
        <v>0</v>
      </c>
      <c r="AY26" s="1">
        <f t="shared" si="5"/>
        <v>0</v>
      </c>
      <c r="AZ26" s="78" t="b">
        <v>0</v>
      </c>
      <c r="BA26" s="1">
        <f t="shared" si="6"/>
        <v>0</v>
      </c>
      <c r="BB26" s="1" t="b">
        <v>0</v>
      </c>
      <c r="BC26" s="1">
        <f t="shared" si="7"/>
        <v>0</v>
      </c>
      <c r="BD26" s="78" t="b">
        <v>0</v>
      </c>
      <c r="BE26" s="1">
        <f t="shared" si="8"/>
        <v>0</v>
      </c>
      <c r="BF26" s="1" t="b">
        <v>0</v>
      </c>
      <c r="BG26" s="1">
        <f t="shared" si="9"/>
        <v>0</v>
      </c>
      <c r="BH26" s="78" t="b">
        <v>0</v>
      </c>
      <c r="BI26" s="1">
        <f t="shared" si="10"/>
        <v>0</v>
      </c>
      <c r="BJ26" s="1" t="b">
        <v>0</v>
      </c>
      <c r="BK26" s="1">
        <f t="shared" si="11"/>
        <v>0</v>
      </c>
      <c r="BL26" s="78" t="b">
        <v>0</v>
      </c>
      <c r="BM26" s="1">
        <f t="shared" si="12"/>
        <v>0</v>
      </c>
      <c r="BN26" s="1" t="b">
        <v>0</v>
      </c>
      <c r="BO26" s="1">
        <f t="shared" si="13"/>
        <v>0</v>
      </c>
    </row>
    <row r="27" spans="1:67" ht="12.75">
      <c r="A27" s="78">
        <v>370000</v>
      </c>
      <c r="B27" s="1">
        <v>25</v>
      </c>
      <c r="C27" s="78">
        <v>370000</v>
      </c>
      <c r="K27" s="78" t="s">
        <v>9</v>
      </c>
      <c r="L27" s="1" t="b">
        <v>0</v>
      </c>
      <c r="M27" s="78">
        <f t="shared" si="0"/>
        <v>0</v>
      </c>
      <c r="N27" s="78">
        <v>0</v>
      </c>
      <c r="O27" s="78">
        <v>10</v>
      </c>
      <c r="P27" s="78">
        <v>-10</v>
      </c>
      <c r="Q27" s="78">
        <v>0</v>
      </c>
      <c r="R27" s="78">
        <v>0</v>
      </c>
      <c r="S27" s="78">
        <f>IF(OR(F28=N11,F28=O11,F28=P11,F28=Q11,F28=R11),HLOOKUP(F28,N11:R27,17,FALSE),0)</f>
        <v>0</v>
      </c>
      <c r="T27" s="78">
        <f>IF(OR(F29=N11,F29=O11,F29=P11,F29=Q11,F29=R11),HLOOKUP(F29,N11:R27,3,FALSE),0)</f>
        <v>0</v>
      </c>
      <c r="U27" s="78">
        <f t="shared" si="1"/>
        <v>0</v>
      </c>
      <c r="Y27" s="78">
        <v>1</v>
      </c>
      <c r="Z27" s="78" t="s">
        <v>346</v>
      </c>
      <c r="AA27" s="1">
        <v>1</v>
      </c>
      <c r="AB27" s="1">
        <v>1</v>
      </c>
      <c r="AC27" s="88" t="s">
        <v>711</v>
      </c>
      <c r="AD27" s="1">
        <v>1</v>
      </c>
      <c r="AE27" s="1">
        <v>3</v>
      </c>
      <c r="AF27" s="1">
        <v>4</v>
      </c>
      <c r="AG27" s="1" t="s">
        <v>285</v>
      </c>
      <c r="AH27" s="1" t="s">
        <v>285</v>
      </c>
      <c r="AI27" s="1" t="s">
        <v>285</v>
      </c>
      <c r="AJ27" s="1">
        <v>90</v>
      </c>
      <c r="AL27" s="78">
        <v>4</v>
      </c>
      <c r="AN27" s="78" t="b">
        <v>0</v>
      </c>
      <c r="AO27" s="1">
        <f t="shared" si="14"/>
        <v>0</v>
      </c>
      <c r="AP27" s="1" t="b">
        <v>0</v>
      </c>
      <c r="AQ27" s="1">
        <f t="shared" si="14"/>
        <v>0</v>
      </c>
      <c r="AR27" s="78" t="b">
        <v>0</v>
      </c>
      <c r="AS27" s="1">
        <f t="shared" si="2"/>
        <v>0</v>
      </c>
      <c r="AT27" s="1" t="b">
        <v>0</v>
      </c>
      <c r="AU27" s="1">
        <f t="shared" si="3"/>
        <v>0</v>
      </c>
      <c r="AV27" s="78" t="b">
        <v>0</v>
      </c>
      <c r="AW27" s="1">
        <f t="shared" si="4"/>
        <v>0</v>
      </c>
      <c r="AX27" s="1" t="b">
        <v>0</v>
      </c>
      <c r="AY27" s="1">
        <f t="shared" si="5"/>
        <v>0</v>
      </c>
      <c r="AZ27" s="78" t="b">
        <v>0</v>
      </c>
      <c r="BA27" s="1">
        <f t="shared" si="6"/>
        <v>0</v>
      </c>
      <c r="BB27" s="1" t="b">
        <v>0</v>
      </c>
      <c r="BC27" s="1">
        <f t="shared" si="7"/>
        <v>0</v>
      </c>
      <c r="BD27" s="78" t="b">
        <v>0</v>
      </c>
      <c r="BE27" s="1">
        <f t="shared" si="8"/>
        <v>0</v>
      </c>
      <c r="BF27" s="1" t="b">
        <v>0</v>
      </c>
      <c r="BG27" s="1">
        <f t="shared" si="9"/>
        <v>0</v>
      </c>
      <c r="BH27" s="78" t="b">
        <v>0</v>
      </c>
      <c r="BI27" s="1">
        <f t="shared" si="10"/>
        <v>0</v>
      </c>
      <c r="BJ27" s="1" t="b">
        <v>0</v>
      </c>
      <c r="BK27" s="1">
        <f t="shared" si="11"/>
        <v>0</v>
      </c>
      <c r="BL27" s="78" t="b">
        <v>0</v>
      </c>
      <c r="BM27" s="1">
        <f t="shared" si="12"/>
        <v>0</v>
      </c>
      <c r="BN27" s="1" t="b">
        <v>0</v>
      </c>
      <c r="BO27" s="1">
        <f t="shared" si="13"/>
        <v>0</v>
      </c>
    </row>
    <row r="28" spans="1:67" ht="12.75">
      <c r="A28" s="78">
        <v>410000</v>
      </c>
      <c r="B28" s="1">
        <v>26</v>
      </c>
      <c r="C28" s="78">
        <v>410000</v>
      </c>
      <c r="E28" s="78" t="s">
        <v>149</v>
      </c>
      <c r="F28" s="78">
        <v>1</v>
      </c>
      <c r="H28" s="78">
        <v>5</v>
      </c>
      <c r="K28" s="78" t="s">
        <v>6</v>
      </c>
      <c r="L28" s="1" t="b">
        <v>0</v>
      </c>
      <c r="M28" s="78">
        <f t="shared" si="0"/>
        <v>0</v>
      </c>
      <c r="N28" s="78">
        <v>20</v>
      </c>
      <c r="O28" s="78">
        <v>10</v>
      </c>
      <c r="P28" s="78">
        <v>-10</v>
      </c>
      <c r="Q28" s="78">
        <v>0</v>
      </c>
      <c r="R28" s="78">
        <v>0</v>
      </c>
      <c r="S28" s="78">
        <f>IF(OR(F28=N11,F28=O11,F28=P11,F28=Q11,F28=R11),HLOOKUP(F28,N11:R28,18,FALSE),0)</f>
        <v>0</v>
      </c>
      <c r="T28" s="78">
        <f>IF(OR(F29=N11,F29=O11,F29=P11,F29=Q11,F29=R11),HLOOKUP(F29,N11:R28,3,FALSE),0)</f>
        <v>0</v>
      </c>
      <c r="U28" s="78">
        <f t="shared" si="1"/>
        <v>0</v>
      </c>
      <c r="Y28" s="78">
        <v>1</v>
      </c>
      <c r="Z28" s="78" t="s">
        <v>347</v>
      </c>
      <c r="AA28" s="1">
        <v>1</v>
      </c>
      <c r="AB28" s="1">
        <v>2</v>
      </c>
      <c r="AC28" s="88" t="s">
        <v>712</v>
      </c>
      <c r="AD28" s="1">
        <v>1</v>
      </c>
      <c r="AE28" s="1">
        <v>3</v>
      </c>
      <c r="AF28" s="1">
        <v>4</v>
      </c>
      <c r="AG28" s="1" t="s">
        <v>285</v>
      </c>
      <c r="AH28" s="1" t="s">
        <v>285</v>
      </c>
      <c r="AI28" s="1" t="s">
        <v>285</v>
      </c>
      <c r="AJ28" s="1">
        <v>100</v>
      </c>
      <c r="AL28" s="78">
        <v>4</v>
      </c>
      <c r="AN28" s="78" t="b">
        <v>0</v>
      </c>
      <c r="AO28" s="1">
        <f t="shared" si="14"/>
        <v>0</v>
      </c>
      <c r="AP28" s="1" t="b">
        <v>0</v>
      </c>
      <c r="AQ28" s="1">
        <f t="shared" si="14"/>
        <v>0</v>
      </c>
      <c r="AR28" s="78" t="b">
        <v>0</v>
      </c>
      <c r="AS28" s="1">
        <f t="shared" si="2"/>
        <v>0</v>
      </c>
      <c r="AT28" s="1" t="b">
        <v>0</v>
      </c>
      <c r="AU28" s="1">
        <f t="shared" si="3"/>
        <v>0</v>
      </c>
      <c r="AV28" s="78" t="b">
        <v>0</v>
      </c>
      <c r="AW28" s="1">
        <f t="shared" si="4"/>
        <v>0</v>
      </c>
      <c r="AX28" s="1" t="b">
        <v>0</v>
      </c>
      <c r="AY28" s="1">
        <f t="shared" si="5"/>
        <v>0</v>
      </c>
      <c r="AZ28" s="78" t="b">
        <v>0</v>
      </c>
      <c r="BA28" s="1">
        <f t="shared" si="6"/>
        <v>0</v>
      </c>
      <c r="BB28" s="1" t="b">
        <v>0</v>
      </c>
      <c r="BC28" s="1">
        <f t="shared" si="7"/>
        <v>0</v>
      </c>
      <c r="BD28" s="78" t="b">
        <v>0</v>
      </c>
      <c r="BE28" s="1">
        <f t="shared" si="8"/>
        <v>0</v>
      </c>
      <c r="BF28" s="1" t="b">
        <v>0</v>
      </c>
      <c r="BG28" s="1">
        <f t="shared" si="9"/>
        <v>0</v>
      </c>
      <c r="BH28" s="78" t="b">
        <v>0</v>
      </c>
      <c r="BI28" s="1">
        <f t="shared" si="10"/>
        <v>0</v>
      </c>
      <c r="BJ28" s="1" t="b">
        <v>0</v>
      </c>
      <c r="BK28" s="1">
        <f t="shared" si="11"/>
        <v>0</v>
      </c>
      <c r="BL28" s="78" t="b">
        <v>0</v>
      </c>
      <c r="BM28" s="1">
        <f t="shared" si="12"/>
        <v>0</v>
      </c>
      <c r="BN28" s="1" t="b">
        <v>0</v>
      </c>
      <c r="BO28" s="1">
        <f t="shared" si="13"/>
        <v>0</v>
      </c>
    </row>
    <row r="29" spans="1:67" ht="12.75">
      <c r="A29" s="78">
        <v>450000</v>
      </c>
      <c r="B29" s="1">
        <v>27</v>
      </c>
      <c r="C29" s="78">
        <v>450000</v>
      </c>
      <c r="E29" s="78" t="s">
        <v>150</v>
      </c>
      <c r="F29" s="78">
        <v>1</v>
      </c>
      <c r="H29" s="78">
        <f>SUM(Игрок1!K26,Игрок1!K28,Игрок1!K30,Игрок1!K32,Игрок1!K34,Игрок1!K36,Игрок1!K38)</f>
        <v>35</v>
      </c>
      <c r="K29" s="78" t="s">
        <v>7</v>
      </c>
      <c r="L29" s="1" t="b">
        <v>0</v>
      </c>
      <c r="M29" s="78">
        <f t="shared" si="0"/>
        <v>0</v>
      </c>
      <c r="N29" s="78">
        <v>20</v>
      </c>
      <c r="O29" s="78">
        <v>10</v>
      </c>
      <c r="P29" s="78">
        <v>-10</v>
      </c>
      <c r="Q29" s="78">
        <v>0</v>
      </c>
      <c r="R29" s="78">
        <v>0</v>
      </c>
      <c r="S29" s="78">
        <f>IF(OR(F28=N11,F28=O11,F28=P11,F28=Q11,F28=R11),HLOOKUP(F28,N11:R29,19,FALSE),0)</f>
        <v>0</v>
      </c>
      <c r="T29" s="78">
        <f>IF(OR(F29=N11,F29=O11,F29=P11,F29=Q11,F29=R11),HLOOKUP(F29,N11:R29,3,FALSE),0)</f>
        <v>0</v>
      </c>
      <c r="U29" s="78">
        <f t="shared" si="1"/>
        <v>0</v>
      </c>
      <c r="Y29" s="78">
        <v>1</v>
      </c>
      <c r="Z29" s="78" t="s">
        <v>348</v>
      </c>
      <c r="AA29" s="1">
        <v>1</v>
      </c>
      <c r="AB29" s="1">
        <v>4</v>
      </c>
      <c r="AC29" s="88" t="s">
        <v>713</v>
      </c>
      <c r="AD29" s="1">
        <v>1</v>
      </c>
      <c r="AE29" s="1">
        <v>4</v>
      </c>
      <c r="AF29" s="1">
        <v>5</v>
      </c>
      <c r="AG29" s="1" t="s">
        <v>285</v>
      </c>
      <c r="AH29" s="1" t="s">
        <v>285</v>
      </c>
      <c r="AI29" s="1" t="s">
        <v>285</v>
      </c>
      <c r="AJ29" s="1">
        <v>150</v>
      </c>
      <c r="AL29" s="78">
        <v>4</v>
      </c>
      <c r="AN29" s="78" t="b">
        <v>0</v>
      </c>
      <c r="AO29" s="1">
        <f t="shared" si="14"/>
        <v>0</v>
      </c>
      <c r="AP29" s="1" t="b">
        <v>0</v>
      </c>
      <c r="AQ29" s="1">
        <f t="shared" si="14"/>
        <v>0</v>
      </c>
      <c r="AR29" s="78" t="b">
        <v>0</v>
      </c>
      <c r="AS29" s="1">
        <f t="shared" si="2"/>
        <v>0</v>
      </c>
      <c r="AT29" s="1" t="b">
        <v>0</v>
      </c>
      <c r="AU29" s="1">
        <f t="shared" si="3"/>
        <v>0</v>
      </c>
      <c r="AV29" s="78" t="b">
        <v>0</v>
      </c>
      <c r="AW29" s="1">
        <f t="shared" si="4"/>
        <v>0</v>
      </c>
      <c r="AX29" s="1" t="b">
        <v>0</v>
      </c>
      <c r="AY29" s="1">
        <f t="shared" si="5"/>
        <v>0</v>
      </c>
      <c r="AZ29" s="78" t="b">
        <v>0</v>
      </c>
      <c r="BA29" s="1">
        <f t="shared" si="6"/>
        <v>0</v>
      </c>
      <c r="BB29" s="1" t="b">
        <v>0</v>
      </c>
      <c r="BC29" s="1">
        <f t="shared" si="7"/>
        <v>0</v>
      </c>
      <c r="BD29" s="78" t="b">
        <v>0</v>
      </c>
      <c r="BE29" s="1">
        <f t="shared" si="8"/>
        <v>0</v>
      </c>
      <c r="BF29" s="1" t="b">
        <v>0</v>
      </c>
      <c r="BG29" s="1">
        <f t="shared" si="9"/>
        <v>0</v>
      </c>
      <c r="BH29" s="78" t="b">
        <v>0</v>
      </c>
      <c r="BI29" s="1">
        <f t="shared" si="10"/>
        <v>0</v>
      </c>
      <c r="BJ29" s="1" t="b">
        <v>0</v>
      </c>
      <c r="BK29" s="1">
        <f t="shared" si="11"/>
        <v>0</v>
      </c>
      <c r="BL29" s="78" t="b">
        <v>0</v>
      </c>
      <c r="BM29" s="1">
        <f t="shared" si="12"/>
        <v>0</v>
      </c>
      <c r="BN29" s="1" t="b">
        <v>0</v>
      </c>
      <c r="BO29" s="1">
        <f t="shared" si="13"/>
        <v>0</v>
      </c>
    </row>
    <row r="30" spans="1:67" ht="12.75">
      <c r="A30" s="78">
        <v>490000</v>
      </c>
      <c r="B30" s="1">
        <v>28</v>
      </c>
      <c r="C30" s="78">
        <v>490000</v>
      </c>
      <c r="K30" s="78" t="s">
        <v>40</v>
      </c>
      <c r="L30" s="1" t="b">
        <v>0</v>
      </c>
      <c r="M30" s="78">
        <f t="shared" si="0"/>
        <v>0</v>
      </c>
      <c r="N30" s="78">
        <v>0</v>
      </c>
      <c r="O30" s="78">
        <v>10</v>
      </c>
      <c r="P30" s="78">
        <v>-10</v>
      </c>
      <c r="Q30" s="78">
        <v>0</v>
      </c>
      <c r="R30" s="78">
        <v>0</v>
      </c>
      <c r="S30" s="78">
        <f>IF(OR(F28=N11,F28=O11,F28=P11,F28=Q11,F28=R11),HLOOKUP(F28,N11:R30,20,FALSE),0)</f>
        <v>0</v>
      </c>
      <c r="T30" s="78">
        <f>IF(OR(F29=N11,F29=O11,F29=P11,F29=Q11,F29=R11),HLOOKUP(F29,N11:R30,3,FALSE),0)</f>
        <v>0</v>
      </c>
      <c r="U30" s="78">
        <f t="shared" si="1"/>
        <v>0</v>
      </c>
      <c r="Y30" s="78">
        <v>1</v>
      </c>
      <c r="Z30" s="78" t="s">
        <v>349</v>
      </c>
      <c r="AA30" s="1">
        <v>1</v>
      </c>
      <c r="AB30" s="1">
        <v>1</v>
      </c>
      <c r="AC30" s="88" t="s">
        <v>714</v>
      </c>
      <c r="AD30" s="1">
        <v>1</v>
      </c>
      <c r="AE30" s="1">
        <v>3</v>
      </c>
      <c r="AF30" s="1">
        <v>4</v>
      </c>
      <c r="AG30" s="1" t="s">
        <v>285</v>
      </c>
      <c r="AH30" s="1" t="s">
        <v>285</v>
      </c>
      <c r="AI30" s="1" t="s">
        <v>285</v>
      </c>
      <c r="AJ30" s="1">
        <v>250</v>
      </c>
      <c r="AL30" s="78">
        <v>4</v>
      </c>
      <c r="AN30" s="78" t="b">
        <v>0</v>
      </c>
      <c r="AO30" s="1">
        <f t="shared" si="14"/>
        <v>0</v>
      </c>
      <c r="AP30" s="1" t="b">
        <v>0</v>
      </c>
      <c r="AQ30" s="1">
        <f t="shared" si="14"/>
        <v>0</v>
      </c>
      <c r="AR30" s="78" t="b">
        <v>0</v>
      </c>
      <c r="AS30" s="1">
        <f t="shared" si="2"/>
        <v>0</v>
      </c>
      <c r="AT30" s="1" t="b">
        <v>0</v>
      </c>
      <c r="AU30" s="1">
        <f t="shared" si="3"/>
        <v>0</v>
      </c>
      <c r="AV30" s="78" t="b">
        <v>0</v>
      </c>
      <c r="AW30" s="1">
        <f t="shared" si="4"/>
        <v>0</v>
      </c>
      <c r="AX30" s="1" t="b">
        <v>0</v>
      </c>
      <c r="AY30" s="1">
        <f t="shared" si="5"/>
        <v>0</v>
      </c>
      <c r="AZ30" s="78" t="b">
        <v>0</v>
      </c>
      <c r="BA30" s="1">
        <f t="shared" si="6"/>
        <v>0</v>
      </c>
      <c r="BB30" s="1" t="b">
        <v>0</v>
      </c>
      <c r="BC30" s="1">
        <f t="shared" si="7"/>
        <v>0</v>
      </c>
      <c r="BD30" s="78" t="b">
        <v>0</v>
      </c>
      <c r="BE30" s="1">
        <f t="shared" si="8"/>
        <v>0</v>
      </c>
      <c r="BF30" s="1" t="b">
        <v>0</v>
      </c>
      <c r="BG30" s="1">
        <f t="shared" si="9"/>
        <v>0</v>
      </c>
      <c r="BH30" s="78" t="b">
        <v>0</v>
      </c>
      <c r="BI30" s="1">
        <f t="shared" si="10"/>
        <v>0</v>
      </c>
      <c r="BJ30" s="1" t="b">
        <v>0</v>
      </c>
      <c r="BK30" s="1">
        <f t="shared" si="11"/>
        <v>0</v>
      </c>
      <c r="BL30" s="78" t="b">
        <v>0</v>
      </c>
      <c r="BM30" s="1">
        <f t="shared" si="12"/>
        <v>0</v>
      </c>
      <c r="BN30" s="1" t="b">
        <v>0</v>
      </c>
      <c r="BO30" s="1">
        <f t="shared" si="13"/>
        <v>0</v>
      </c>
    </row>
    <row r="31" spans="1:67" ht="12.75">
      <c r="A31" s="78">
        <v>530000</v>
      </c>
      <c r="B31" s="1">
        <v>29</v>
      </c>
      <c r="C31" s="78">
        <v>530000</v>
      </c>
      <c r="K31" s="78" t="s">
        <v>41</v>
      </c>
      <c r="L31" s="1" t="b">
        <v>0</v>
      </c>
      <c r="M31" s="78">
        <f t="shared" si="0"/>
        <v>0</v>
      </c>
      <c r="N31" s="78">
        <v>0</v>
      </c>
      <c r="O31" s="78">
        <v>10</v>
      </c>
      <c r="P31" s="78">
        <v>-10</v>
      </c>
      <c r="Q31" s="78">
        <v>0</v>
      </c>
      <c r="R31" s="78">
        <v>0</v>
      </c>
      <c r="S31" s="78">
        <f>IF(OR(F28=N11,F28=O11,F28=P11,F28=Q11,F28=R11),HLOOKUP(F28,N11:R31,21,FALSE),0)</f>
        <v>0</v>
      </c>
      <c r="T31" s="78">
        <f>IF(OR(F29=N11,F29=O11,F29=P11,F29=Q11,F29=R11),HLOOKUP(F29,N11:R31,3,FALSE),0)</f>
        <v>0</v>
      </c>
      <c r="U31" s="78">
        <f t="shared" si="1"/>
        <v>0</v>
      </c>
      <c r="Y31" s="78">
        <v>1</v>
      </c>
      <c r="Z31" s="78" t="s">
        <v>350</v>
      </c>
      <c r="AA31" s="1">
        <v>1</v>
      </c>
      <c r="AB31" s="1">
        <v>5</v>
      </c>
      <c r="AC31" s="88" t="s">
        <v>342</v>
      </c>
      <c r="AD31" s="1">
        <v>1</v>
      </c>
      <c r="AE31" s="1">
        <v>3</v>
      </c>
      <c r="AF31" s="1">
        <v>4</v>
      </c>
      <c r="AG31" s="1" t="s">
        <v>285</v>
      </c>
      <c r="AH31" s="1" t="s">
        <v>285</v>
      </c>
      <c r="AI31" s="1" t="s">
        <v>285</v>
      </c>
      <c r="AJ31" s="1">
        <v>250</v>
      </c>
      <c r="AL31" s="78">
        <v>4</v>
      </c>
      <c r="AN31" s="78" t="b">
        <v>0</v>
      </c>
      <c r="AO31" s="1">
        <f t="shared" si="14"/>
        <v>0</v>
      </c>
      <c r="AP31" s="1" t="b">
        <v>0</v>
      </c>
      <c r="AQ31" s="1">
        <f t="shared" si="14"/>
        <v>0</v>
      </c>
      <c r="AR31" s="78" t="b">
        <v>0</v>
      </c>
      <c r="AS31" s="1">
        <f t="shared" si="2"/>
        <v>0</v>
      </c>
      <c r="AT31" s="1" t="b">
        <v>0</v>
      </c>
      <c r="AU31" s="1">
        <f t="shared" si="3"/>
        <v>0</v>
      </c>
      <c r="AV31" s="78" t="b">
        <v>0</v>
      </c>
      <c r="AW31" s="1">
        <f t="shared" si="4"/>
        <v>0</v>
      </c>
      <c r="AX31" s="1" t="b">
        <v>0</v>
      </c>
      <c r="AY31" s="1">
        <f t="shared" si="5"/>
        <v>0</v>
      </c>
      <c r="AZ31" s="78" t="b">
        <v>0</v>
      </c>
      <c r="BA31" s="1">
        <f t="shared" si="6"/>
        <v>0</v>
      </c>
      <c r="BB31" s="1" t="b">
        <v>0</v>
      </c>
      <c r="BC31" s="1">
        <f t="shared" si="7"/>
        <v>0</v>
      </c>
      <c r="BD31" s="78" t="b">
        <v>0</v>
      </c>
      <c r="BE31" s="1">
        <f t="shared" si="8"/>
        <v>0</v>
      </c>
      <c r="BF31" s="1" t="b">
        <v>0</v>
      </c>
      <c r="BG31" s="1">
        <f t="shared" si="9"/>
        <v>0</v>
      </c>
      <c r="BH31" s="78" t="b">
        <v>0</v>
      </c>
      <c r="BI31" s="1">
        <f t="shared" si="10"/>
        <v>0</v>
      </c>
      <c r="BJ31" s="1" t="b">
        <v>0</v>
      </c>
      <c r="BK31" s="1">
        <f t="shared" si="11"/>
        <v>0</v>
      </c>
      <c r="BL31" s="78" t="b">
        <v>0</v>
      </c>
      <c r="BM31" s="1">
        <f t="shared" si="12"/>
        <v>0</v>
      </c>
      <c r="BN31" s="1" t="b">
        <v>0</v>
      </c>
      <c r="BO31" s="1">
        <f t="shared" si="13"/>
        <v>0</v>
      </c>
    </row>
    <row r="32" spans="1:66" ht="12.75">
      <c r="A32" s="78">
        <v>570000</v>
      </c>
      <c r="B32" s="1">
        <v>30</v>
      </c>
      <c r="C32" s="78">
        <v>570000</v>
      </c>
      <c r="Y32" s="78">
        <v>1</v>
      </c>
      <c r="Z32" s="78" t="s">
        <v>351</v>
      </c>
      <c r="AA32" s="1">
        <v>1</v>
      </c>
      <c r="AB32" s="1">
        <v>10</v>
      </c>
      <c r="AC32" s="88" t="s">
        <v>715</v>
      </c>
      <c r="AD32" s="1">
        <v>1</v>
      </c>
      <c r="AE32" s="1">
        <v>3</v>
      </c>
      <c r="AF32" s="1">
        <v>4</v>
      </c>
      <c r="AG32" s="1" t="s">
        <v>285</v>
      </c>
      <c r="AH32" s="1" t="s">
        <v>285</v>
      </c>
      <c r="AI32" s="1" t="s">
        <v>285</v>
      </c>
      <c r="AJ32" s="1">
        <v>300</v>
      </c>
      <c r="AL32" s="78">
        <v>4</v>
      </c>
      <c r="AN32" s="85">
        <f>IF(AO21&gt;7,-10,0)</f>
        <v>0</v>
      </c>
      <c r="AO32" s="1">
        <f>IF(AND(AN33=TRUE,AP33=FALSE),AN32,IF(AND(AN33=FALSE,AP33=TRUE),AP32,0))</f>
        <v>0</v>
      </c>
      <c r="AP32" s="78">
        <f>IF(AQ21&gt;7,-10,0)</f>
        <v>0</v>
      </c>
      <c r="AR32" s="85">
        <f>IF(AS21&gt;7,-10,0)</f>
        <v>0</v>
      </c>
      <c r="AS32" s="1">
        <f>IF(AND(AR33=TRUE,AT33=FALSE),AR32,IF(AND(AR33=FALSE,AT33=TRUE),AT32,0))</f>
        <v>0</v>
      </c>
      <c r="AT32" s="78">
        <f>IF(AU21&gt;7,-10,0)</f>
        <v>0</v>
      </c>
      <c r="AV32" s="85">
        <f>IF(AW21&gt;7,-10,0)</f>
        <v>0</v>
      </c>
      <c r="AW32" s="1">
        <f>IF(AND(AV33=TRUE,AX33=FALSE),AV32,IF(AND(AV33=FALSE,AX33=TRUE),AX32,0))</f>
        <v>0</v>
      </c>
      <c r="AX32" s="78">
        <f>IF(AY21&gt;7,-10,0)</f>
        <v>0</v>
      </c>
      <c r="AZ32" s="85">
        <f>IF(BA21&gt;7,-10,0)</f>
        <v>0</v>
      </c>
      <c r="BA32" s="1">
        <f>IF(AND(AZ33=TRUE,BB33=FALSE),AZ32,IF(AND(AZ33=FALSE,BB33=TRUE),BB32,0))</f>
        <v>0</v>
      </c>
      <c r="BB32" s="78">
        <f>IF(BC21&gt;7,-10,0)</f>
        <v>0</v>
      </c>
      <c r="BD32" s="85">
        <f>IF(BE21&gt;7,-10,0)</f>
        <v>0</v>
      </c>
      <c r="BE32" s="1">
        <f>IF(AND(BD33=TRUE,BF33=FALSE),BD32,IF(AND(BD33=FALSE,BF33=TRUE),BF32,0))</f>
        <v>0</v>
      </c>
      <c r="BF32" s="78">
        <f>IF(BG21&gt;7,-10,0)</f>
        <v>0</v>
      </c>
      <c r="BH32" s="85">
        <f>IF(BI21&gt;7,-10,0)</f>
        <v>0</v>
      </c>
      <c r="BI32" s="1">
        <f>IF(AND(BH33=TRUE,BJ33=FALSE),BH32,IF(AND(BH33=FALSE,BJ33=TRUE),BJ32,0))</f>
        <v>0</v>
      </c>
      <c r="BJ32" s="78">
        <f>IF(BK21&gt;7,-10,0)</f>
        <v>0</v>
      </c>
      <c r="BL32" s="85">
        <f>IF(BM21&gt;7,-10,0)</f>
        <v>0</v>
      </c>
      <c r="BM32" s="1">
        <f>IF(AND(BL33=TRUE,BN33=FALSE),BL32,IF(AND(BL33=FALSE,BN33=TRUE),BN32,0))</f>
        <v>0</v>
      </c>
      <c r="BN32" s="78">
        <f>IF(BO21&gt;7,-10,0)</f>
        <v>0</v>
      </c>
    </row>
    <row r="33" spans="25:66" ht="12.75">
      <c r="Y33" s="78">
        <v>1</v>
      </c>
      <c r="Z33" s="78" t="s">
        <v>352</v>
      </c>
      <c r="AA33" s="1">
        <v>1</v>
      </c>
      <c r="AB33" s="1">
        <v>4</v>
      </c>
      <c r="AC33" s="88" t="s">
        <v>716</v>
      </c>
      <c r="AD33" s="1">
        <v>1</v>
      </c>
      <c r="AE33" s="1">
        <v>3</v>
      </c>
      <c r="AF33" s="1">
        <v>4</v>
      </c>
      <c r="AG33" s="1" t="s">
        <v>285</v>
      </c>
      <c r="AH33" s="1" t="s">
        <v>285</v>
      </c>
      <c r="AI33" s="1" t="s">
        <v>285</v>
      </c>
      <c r="AJ33" s="1">
        <v>300</v>
      </c>
      <c r="AL33" s="78">
        <v>4</v>
      </c>
      <c r="AN33" s="78" t="b">
        <v>0</v>
      </c>
      <c r="AO33" s="1" t="s">
        <v>946</v>
      </c>
      <c r="AP33" s="78" t="b">
        <v>0</v>
      </c>
      <c r="AR33" s="78" t="b">
        <v>0</v>
      </c>
      <c r="AS33" s="1" t="s">
        <v>946</v>
      </c>
      <c r="AT33" s="78" t="b">
        <v>0</v>
      </c>
      <c r="AV33" s="78" t="b">
        <v>0</v>
      </c>
      <c r="AW33" s="1" t="s">
        <v>946</v>
      </c>
      <c r="AX33" s="78" t="b">
        <v>0</v>
      </c>
      <c r="AZ33" s="78" t="b">
        <v>0</v>
      </c>
      <c r="BA33" s="1" t="s">
        <v>946</v>
      </c>
      <c r="BB33" s="78" t="b">
        <v>0</v>
      </c>
      <c r="BD33" s="78" t="b">
        <v>0</v>
      </c>
      <c r="BE33" s="1" t="s">
        <v>946</v>
      </c>
      <c r="BF33" s="78" t="b">
        <v>0</v>
      </c>
      <c r="BH33" s="78" t="b">
        <v>0</v>
      </c>
      <c r="BI33" s="1" t="s">
        <v>946</v>
      </c>
      <c r="BJ33" s="78" t="b">
        <v>0</v>
      </c>
      <c r="BL33" s="78" t="b">
        <v>0</v>
      </c>
      <c r="BM33" s="1" t="s">
        <v>946</v>
      </c>
      <c r="BN33" s="78" t="b">
        <v>0</v>
      </c>
    </row>
    <row r="34" spans="1:66" ht="12.75">
      <c r="A34" s="78" t="s">
        <v>96</v>
      </c>
      <c r="B34" s="78" t="s">
        <v>148</v>
      </c>
      <c r="K34" s="78" t="s">
        <v>212</v>
      </c>
      <c r="L34" s="78" t="s">
        <v>213</v>
      </c>
      <c r="M34" s="78" t="s">
        <v>148</v>
      </c>
      <c r="O34" s="78" t="s">
        <v>214</v>
      </c>
      <c r="P34" s="78" t="s">
        <v>121</v>
      </c>
      <c r="Q34" s="78" t="s">
        <v>122</v>
      </c>
      <c r="R34" s="1" t="s">
        <v>175</v>
      </c>
      <c r="S34" s="78" t="s">
        <v>176</v>
      </c>
      <c r="T34" s="78" t="s">
        <v>123</v>
      </c>
      <c r="U34" s="78" t="s">
        <v>124</v>
      </c>
      <c r="V34" s="78" t="s">
        <v>154</v>
      </c>
      <c r="W34" s="78" t="s">
        <v>155</v>
      </c>
      <c r="X34" s="1" t="s">
        <v>228</v>
      </c>
      <c r="Y34" s="78">
        <v>1</v>
      </c>
      <c r="Z34" s="78" t="s">
        <v>602</v>
      </c>
      <c r="AA34" s="1">
        <v>2</v>
      </c>
      <c r="AB34" s="1">
        <v>7</v>
      </c>
      <c r="AC34" s="88" t="s">
        <v>717</v>
      </c>
      <c r="AD34" s="1">
        <v>1</v>
      </c>
      <c r="AE34" s="1">
        <v>4</v>
      </c>
      <c r="AF34" s="1">
        <v>5</v>
      </c>
      <c r="AG34" s="1" t="s">
        <v>285</v>
      </c>
      <c r="AH34" s="1" t="s">
        <v>285</v>
      </c>
      <c r="AI34" s="1">
        <v>1</v>
      </c>
      <c r="AJ34" s="1">
        <v>600</v>
      </c>
      <c r="AL34" s="78">
        <v>4</v>
      </c>
      <c r="AN34" s="78">
        <f>INDEX(AL20:AL239,Y21,1)</f>
        <v>0</v>
      </c>
      <c r="AO34" s="1" t="s">
        <v>945</v>
      </c>
      <c r="AP34" s="78">
        <f>INDEX(AL20:AL239,Y22,1)</f>
        <v>0</v>
      </c>
      <c r="AR34" s="78">
        <f>INDEX(AL20:AL239,Y23,1)</f>
        <v>0</v>
      </c>
      <c r="AS34" s="1" t="s">
        <v>945</v>
      </c>
      <c r="AT34" s="78">
        <f>INDEX(AL20:AL239,Y24,1)</f>
        <v>0</v>
      </c>
      <c r="AV34" s="78">
        <f>INDEX(AL20:AL239,Y25,1)</f>
        <v>0</v>
      </c>
      <c r="AW34" s="1" t="s">
        <v>945</v>
      </c>
      <c r="AX34" s="78">
        <f>INDEX(AL20:AL239,Y26,1)</f>
        <v>0</v>
      </c>
      <c r="AZ34" s="78">
        <f>INDEX(AL20:AL239,Y27,1)</f>
        <v>0</v>
      </c>
      <c r="BA34" s="1" t="s">
        <v>945</v>
      </c>
      <c r="BB34" s="78">
        <f>INDEX(AL20:AL239,Y28,1)</f>
        <v>0</v>
      </c>
      <c r="BD34" s="78">
        <f>INDEX(AL20:AL239,Y29,1)</f>
        <v>0</v>
      </c>
      <c r="BE34" s="1" t="s">
        <v>945</v>
      </c>
      <c r="BF34" s="78">
        <f>INDEX(AL20:AL239,Y30,1)</f>
        <v>0</v>
      </c>
      <c r="BH34" s="78">
        <f>INDEX(AL20:AL239,Y31,1)</f>
        <v>0</v>
      </c>
      <c r="BI34" s="1" t="s">
        <v>945</v>
      </c>
      <c r="BJ34" s="78">
        <f>INDEX(AL20:AL239,Y32,1)</f>
        <v>0</v>
      </c>
      <c r="BL34" s="78">
        <f>INDEX(AL20:AL239,Y33,1)</f>
        <v>0</v>
      </c>
      <c r="BM34" s="1" t="s">
        <v>945</v>
      </c>
      <c r="BN34" s="78">
        <f>INDEX(AL20:AL239,Y34,1)</f>
        <v>0</v>
      </c>
    </row>
    <row r="35" spans="1:65" ht="12.75">
      <c r="A35" s="78" t="s">
        <v>151</v>
      </c>
      <c r="B35" s="186" t="s">
        <v>53</v>
      </c>
      <c r="C35" s="186"/>
      <c r="D35" s="186"/>
      <c r="E35" s="186"/>
      <c r="F35" s="186"/>
      <c r="G35" s="186"/>
      <c r="H35" s="186"/>
      <c r="I35" s="186"/>
      <c r="J35" s="186"/>
      <c r="K35" s="78">
        <v>2</v>
      </c>
      <c r="L35" s="78">
        <v>2</v>
      </c>
      <c r="M35" s="78" t="s">
        <v>194</v>
      </c>
      <c r="N35" s="78" t="s">
        <v>57</v>
      </c>
      <c r="O35" s="78" t="s">
        <v>151</v>
      </c>
      <c r="P35" s="90" t="s">
        <v>53</v>
      </c>
      <c r="Q35" s="90" t="s">
        <v>53</v>
      </c>
      <c r="R35" s="90" t="s">
        <v>53</v>
      </c>
      <c r="S35" s="90" t="s">
        <v>53</v>
      </c>
      <c r="T35" s="90" t="s">
        <v>53</v>
      </c>
      <c r="U35" s="90" t="s">
        <v>53</v>
      </c>
      <c r="V35" s="90" t="s">
        <v>53</v>
      </c>
      <c r="W35" s="90" t="s">
        <v>53</v>
      </c>
      <c r="Z35" s="78" t="s">
        <v>353</v>
      </c>
      <c r="AA35" s="1">
        <v>1</v>
      </c>
      <c r="AB35" s="1">
        <v>9</v>
      </c>
      <c r="AC35" s="88" t="s">
        <v>718</v>
      </c>
      <c r="AD35" s="1">
        <v>1</v>
      </c>
      <c r="AE35" s="1">
        <v>4</v>
      </c>
      <c r="AF35" s="1">
        <v>5</v>
      </c>
      <c r="AG35" s="1" t="s">
        <v>285</v>
      </c>
      <c r="AH35" s="1" t="s">
        <v>285</v>
      </c>
      <c r="AI35" s="1" t="s">
        <v>285</v>
      </c>
      <c r="AJ35" s="1">
        <v>900</v>
      </c>
      <c r="AL35" s="78">
        <v>4</v>
      </c>
      <c r="AO35" s="78">
        <f>IF(AND(AN33=TRUE,AP33=FALSE),AN34,IF(AND(AN33=FALSE,AP33=TRUE),AP34,0))</f>
        <v>0</v>
      </c>
      <c r="AS35" s="78">
        <f>IF(AND(AR33=TRUE,AT33=FALSE),AR34,IF(AND(AR33=FALSE,AT33=TRUE),AT34,0))</f>
        <v>0</v>
      </c>
      <c r="AW35" s="78">
        <f>IF(AND(AV33=TRUE,AX33=FALSE),AV34,IF(AND(AV33=FALSE,AX33=TRUE),AX34,0))</f>
        <v>0</v>
      </c>
      <c r="BA35" s="78">
        <f>IF(AND(AZ33=TRUE,BB33=FALSE),AZ34,IF(AND(AZ33=FALSE,BB33=TRUE),BB34,0))</f>
        <v>0</v>
      </c>
      <c r="BE35" s="78">
        <f>IF(AND(BD33=TRUE,BF33=FALSE),BD34,IF(AND(BD33=FALSE,BF33=TRUE),BF34,0))</f>
        <v>0</v>
      </c>
      <c r="BI35" s="78">
        <f>IF(AND(BH33=TRUE,BJ33=FALSE),BH34,IF(AND(BH33=FALSE,BJ33=TRUE),BJ34,0))</f>
        <v>0</v>
      </c>
      <c r="BM35" s="78">
        <f>IF(AND(BL33=TRUE,BN33=FALSE),BL34,IF(AND(BL33=FALSE,BN33=TRUE),BN34,0))</f>
        <v>0</v>
      </c>
    </row>
    <row r="36" spans="1:38" ht="12.75">
      <c r="A36" s="78" t="s">
        <v>239</v>
      </c>
      <c r="B36" s="188" t="s">
        <v>178</v>
      </c>
      <c r="C36" s="188"/>
      <c r="D36" s="188"/>
      <c r="E36" s="188"/>
      <c r="F36" s="188"/>
      <c r="G36" s="188"/>
      <c r="H36" s="188"/>
      <c r="I36" s="188"/>
      <c r="J36" s="188"/>
      <c r="K36" s="78">
        <v>2</v>
      </c>
      <c r="L36" s="78">
        <v>0</v>
      </c>
      <c r="M36" s="78" t="s">
        <v>195</v>
      </c>
      <c r="N36" s="78" t="s">
        <v>57</v>
      </c>
      <c r="O36" s="78" t="s">
        <v>156</v>
      </c>
      <c r="P36" s="90" t="s">
        <v>178</v>
      </c>
      <c r="Q36" s="90" t="s">
        <v>201</v>
      </c>
      <c r="R36" s="90" t="s">
        <v>178</v>
      </c>
      <c r="S36" s="90" t="s">
        <v>178</v>
      </c>
      <c r="T36" s="90" t="s">
        <v>178</v>
      </c>
      <c r="U36" s="90" t="s">
        <v>178</v>
      </c>
      <c r="V36" s="90" t="s">
        <v>178</v>
      </c>
      <c r="W36" s="90" t="s">
        <v>201</v>
      </c>
      <c r="X36" s="91" t="s">
        <v>1189</v>
      </c>
      <c r="Z36" s="78" t="s">
        <v>354</v>
      </c>
      <c r="AA36" s="1">
        <v>1</v>
      </c>
      <c r="AB36" s="1">
        <v>2</v>
      </c>
      <c r="AC36" s="88" t="s">
        <v>719</v>
      </c>
      <c r="AD36" s="1">
        <v>1</v>
      </c>
      <c r="AE36" s="1">
        <v>3</v>
      </c>
      <c r="AF36" s="1">
        <v>4</v>
      </c>
      <c r="AG36" s="1" t="s">
        <v>285</v>
      </c>
      <c r="AH36" s="1" t="s">
        <v>285</v>
      </c>
      <c r="AI36" s="1" t="s">
        <v>285</v>
      </c>
      <c r="AJ36" s="1">
        <v>1000</v>
      </c>
      <c r="AL36" s="78">
        <v>4</v>
      </c>
    </row>
    <row r="37" spans="1:38" ht="12.75">
      <c r="A37" s="78" t="s">
        <v>157</v>
      </c>
      <c r="B37" s="188" t="s">
        <v>177</v>
      </c>
      <c r="C37" s="188"/>
      <c r="D37" s="188"/>
      <c r="E37" s="188"/>
      <c r="F37" s="188"/>
      <c r="G37" s="188"/>
      <c r="H37" s="188"/>
      <c r="I37" s="188"/>
      <c r="J37" s="188"/>
      <c r="K37" s="78">
        <v>2</v>
      </c>
      <c r="L37" s="78">
        <v>0</v>
      </c>
      <c r="M37" s="78" t="s">
        <v>192</v>
      </c>
      <c r="N37" s="78" t="s">
        <v>57</v>
      </c>
      <c r="O37" s="78" t="s">
        <v>157</v>
      </c>
      <c r="P37" s="90" t="s">
        <v>177</v>
      </c>
      <c r="Q37" s="90" t="s">
        <v>201</v>
      </c>
      <c r="R37" s="90" t="s">
        <v>177</v>
      </c>
      <c r="S37" s="90" t="s">
        <v>177</v>
      </c>
      <c r="T37" s="90" t="s">
        <v>177</v>
      </c>
      <c r="U37" s="90" t="s">
        <v>177</v>
      </c>
      <c r="V37" s="90" t="s">
        <v>177</v>
      </c>
      <c r="W37" s="90" t="s">
        <v>177</v>
      </c>
      <c r="X37" s="91" t="s">
        <v>1189</v>
      </c>
      <c r="Z37" s="78" t="s">
        <v>603</v>
      </c>
      <c r="AA37" s="1">
        <v>1</v>
      </c>
      <c r="AB37" s="1">
        <v>10</v>
      </c>
      <c r="AC37" s="88" t="s">
        <v>720</v>
      </c>
      <c r="AD37" s="1">
        <v>1</v>
      </c>
      <c r="AE37" s="1">
        <v>4</v>
      </c>
      <c r="AF37" s="1">
        <v>5</v>
      </c>
      <c r="AG37" s="1" t="s">
        <v>285</v>
      </c>
      <c r="AH37" s="1" t="s">
        <v>285</v>
      </c>
      <c r="AI37" s="1">
        <v>25</v>
      </c>
      <c r="AJ37" s="1">
        <v>1800</v>
      </c>
      <c r="AL37" s="78">
        <v>4</v>
      </c>
    </row>
    <row r="38" spans="1:38" ht="12.75">
      <c r="A38" s="78" t="s">
        <v>241</v>
      </c>
      <c r="B38" s="188" t="s">
        <v>240</v>
      </c>
      <c r="C38" s="188"/>
      <c r="D38" s="188"/>
      <c r="E38" s="188"/>
      <c r="F38" s="188"/>
      <c r="G38" s="188"/>
      <c r="H38" s="188"/>
      <c r="I38" s="188"/>
      <c r="J38" s="188"/>
      <c r="K38" s="78">
        <v>3</v>
      </c>
      <c r="L38" s="78">
        <v>2</v>
      </c>
      <c r="M38" s="78" t="s">
        <v>114</v>
      </c>
      <c r="N38" s="78" t="s">
        <v>57</v>
      </c>
      <c r="O38" s="78" t="s">
        <v>158</v>
      </c>
      <c r="P38" s="90" t="s">
        <v>179</v>
      </c>
      <c r="Q38" s="90" t="s">
        <v>179</v>
      </c>
      <c r="R38" s="90" t="s">
        <v>201</v>
      </c>
      <c r="S38" s="90" t="s">
        <v>201</v>
      </c>
      <c r="T38" s="90" t="s">
        <v>179</v>
      </c>
      <c r="U38" s="90" t="s">
        <v>179</v>
      </c>
      <c r="V38" s="90" t="s">
        <v>179</v>
      </c>
      <c r="W38" s="90" t="s">
        <v>179</v>
      </c>
      <c r="X38" s="91" t="s">
        <v>1189</v>
      </c>
      <c r="Z38" s="92" t="s">
        <v>604</v>
      </c>
      <c r="AA38" s="80">
        <v>1</v>
      </c>
      <c r="AB38" s="80">
        <v>10</v>
      </c>
      <c r="AC38" s="93" t="s">
        <v>721</v>
      </c>
      <c r="AD38" s="80">
        <v>1</v>
      </c>
      <c r="AE38" s="80">
        <v>4</v>
      </c>
      <c r="AF38" s="80">
        <v>5</v>
      </c>
      <c r="AG38" s="80" t="s">
        <v>285</v>
      </c>
      <c r="AH38" s="80" t="s">
        <v>285</v>
      </c>
      <c r="AI38" s="80">
        <v>25</v>
      </c>
      <c r="AJ38" s="80">
        <v>2200</v>
      </c>
      <c r="AK38" s="90"/>
      <c r="AL38" s="78">
        <v>4</v>
      </c>
    </row>
    <row r="39" spans="1:37" ht="12.75">
      <c r="A39" s="78" t="s">
        <v>159</v>
      </c>
      <c r="B39" s="188" t="s">
        <v>180</v>
      </c>
      <c r="C39" s="188"/>
      <c r="D39" s="188"/>
      <c r="E39" s="188"/>
      <c r="F39" s="188"/>
      <c r="G39" s="188"/>
      <c r="H39" s="188"/>
      <c r="I39" s="188"/>
      <c r="J39" s="188"/>
      <c r="K39" s="78">
        <v>3</v>
      </c>
      <c r="L39" s="78">
        <v>-2</v>
      </c>
      <c r="M39" s="78" t="s">
        <v>173</v>
      </c>
      <c r="N39" s="78" t="s">
        <v>57</v>
      </c>
      <c r="O39" s="78" t="s">
        <v>159</v>
      </c>
      <c r="P39" s="90" t="s">
        <v>180</v>
      </c>
      <c r="Q39" s="90" t="s">
        <v>180</v>
      </c>
      <c r="R39" s="90" t="s">
        <v>180</v>
      </c>
      <c r="S39" s="90" t="s">
        <v>180</v>
      </c>
      <c r="T39" s="90" t="s">
        <v>180</v>
      </c>
      <c r="U39" s="90" t="s">
        <v>201</v>
      </c>
      <c r="V39" s="90" t="s">
        <v>201</v>
      </c>
      <c r="W39" s="90" t="s">
        <v>180</v>
      </c>
      <c r="X39" s="91" t="s">
        <v>1189</v>
      </c>
      <c r="Z39" s="94" t="s">
        <v>1044</v>
      </c>
      <c r="AA39" s="80"/>
      <c r="AB39" s="1"/>
      <c r="AC39" s="93"/>
      <c r="AD39" s="80"/>
      <c r="AE39" s="80"/>
      <c r="AF39" s="80"/>
      <c r="AG39" s="80"/>
      <c r="AH39" s="80"/>
      <c r="AI39" s="80"/>
      <c r="AJ39" s="80"/>
      <c r="AK39" s="90"/>
    </row>
    <row r="40" spans="1:38" ht="12.75">
      <c r="A40" s="78" t="s">
        <v>160</v>
      </c>
      <c r="B40" s="188" t="s">
        <v>181</v>
      </c>
      <c r="C40" s="188"/>
      <c r="D40" s="188"/>
      <c r="E40" s="188"/>
      <c r="F40" s="188"/>
      <c r="G40" s="188"/>
      <c r="H40" s="188"/>
      <c r="I40" s="188"/>
      <c r="J40" s="188"/>
      <c r="K40" s="78">
        <v>4</v>
      </c>
      <c r="L40" s="78">
        <v>1</v>
      </c>
      <c r="M40" s="78" t="s">
        <v>119</v>
      </c>
      <c r="N40" s="78" t="s">
        <v>57</v>
      </c>
      <c r="O40" s="78" t="s">
        <v>160</v>
      </c>
      <c r="P40" s="90" t="s">
        <v>181</v>
      </c>
      <c r="Q40" s="90" t="s">
        <v>181</v>
      </c>
      <c r="R40" s="90" t="s">
        <v>201</v>
      </c>
      <c r="S40" s="90" t="s">
        <v>201</v>
      </c>
      <c r="T40" s="90" t="s">
        <v>181</v>
      </c>
      <c r="U40" s="90" t="s">
        <v>181</v>
      </c>
      <c r="V40" s="90" t="s">
        <v>181</v>
      </c>
      <c r="W40" s="90" t="s">
        <v>181</v>
      </c>
      <c r="X40" s="91" t="s">
        <v>1189</v>
      </c>
      <c r="Z40" s="92" t="s">
        <v>355</v>
      </c>
      <c r="AA40" s="80">
        <v>1</v>
      </c>
      <c r="AB40" s="1">
        <v>1</v>
      </c>
      <c r="AC40" s="93" t="s">
        <v>342</v>
      </c>
      <c r="AD40" s="80">
        <v>1</v>
      </c>
      <c r="AE40" s="80">
        <v>3</v>
      </c>
      <c r="AF40" s="80">
        <v>4</v>
      </c>
      <c r="AG40" s="80" t="s">
        <v>285</v>
      </c>
      <c r="AH40" s="80" t="s">
        <v>285</v>
      </c>
      <c r="AI40" s="80" t="s">
        <v>285</v>
      </c>
      <c r="AJ40" s="80" t="s">
        <v>285</v>
      </c>
      <c r="AK40" s="90"/>
      <c r="AL40" s="78">
        <v>5</v>
      </c>
    </row>
    <row r="41" spans="1:38" ht="12.75">
      <c r="A41" s="78" t="s">
        <v>161</v>
      </c>
      <c r="B41" s="188" t="s">
        <v>186</v>
      </c>
      <c r="C41" s="188"/>
      <c r="D41" s="188"/>
      <c r="E41" s="188"/>
      <c r="F41" s="188"/>
      <c r="G41" s="188"/>
      <c r="H41" s="188"/>
      <c r="I41" s="188"/>
      <c r="J41" s="188"/>
      <c r="K41" s="78">
        <v>4</v>
      </c>
      <c r="L41" s="78" t="s">
        <v>1192</v>
      </c>
      <c r="M41" s="78" t="s">
        <v>196</v>
      </c>
      <c r="N41" s="78" t="s">
        <v>57</v>
      </c>
      <c r="O41" s="78" t="s">
        <v>161</v>
      </c>
      <c r="P41" s="90" t="s">
        <v>186</v>
      </c>
      <c r="Q41" s="90" t="s">
        <v>186</v>
      </c>
      <c r="R41" s="90" t="s">
        <v>186</v>
      </c>
      <c r="S41" s="90" t="s">
        <v>186</v>
      </c>
      <c r="T41" s="90" t="s">
        <v>186</v>
      </c>
      <c r="U41" s="90" t="s">
        <v>186</v>
      </c>
      <c r="V41" s="90" t="s">
        <v>186</v>
      </c>
      <c r="W41" s="90" t="s">
        <v>186</v>
      </c>
      <c r="X41" s="91" t="s">
        <v>1189</v>
      </c>
      <c r="Z41" s="92" t="s">
        <v>356</v>
      </c>
      <c r="AA41" s="80">
        <v>5</v>
      </c>
      <c r="AB41" s="1">
        <v>1</v>
      </c>
      <c r="AC41" s="93" t="s">
        <v>723</v>
      </c>
      <c r="AD41" s="80">
        <v>1</v>
      </c>
      <c r="AE41" s="80" t="s">
        <v>285</v>
      </c>
      <c r="AF41" s="80">
        <v>5</v>
      </c>
      <c r="AG41" s="80" t="s">
        <v>285</v>
      </c>
      <c r="AH41" s="80" t="s">
        <v>285</v>
      </c>
      <c r="AI41" s="80" t="s">
        <v>285</v>
      </c>
      <c r="AJ41" s="80">
        <v>1</v>
      </c>
      <c r="AK41" s="90"/>
      <c r="AL41" s="78">
        <v>5</v>
      </c>
    </row>
    <row r="42" spans="1:38" ht="12.75">
      <c r="A42" s="78" t="s">
        <v>253</v>
      </c>
      <c r="B42" s="188" t="s">
        <v>1198</v>
      </c>
      <c r="C42" s="188"/>
      <c r="D42" s="188"/>
      <c r="E42" s="188"/>
      <c r="F42" s="188"/>
      <c r="G42" s="188"/>
      <c r="H42" s="188"/>
      <c r="I42" s="188"/>
      <c r="J42" s="188"/>
      <c r="K42" s="78">
        <v>6</v>
      </c>
      <c r="L42" s="84">
        <v>0.1</v>
      </c>
      <c r="M42" s="78" t="s">
        <v>198</v>
      </c>
      <c r="N42" s="78" t="s">
        <v>57</v>
      </c>
      <c r="O42" s="78" t="s">
        <v>162</v>
      </c>
      <c r="P42" s="90" t="s">
        <v>1198</v>
      </c>
      <c r="Q42" s="90" t="s">
        <v>201</v>
      </c>
      <c r="R42" s="90" t="s">
        <v>1198</v>
      </c>
      <c r="S42" s="90" t="s">
        <v>1198</v>
      </c>
      <c r="T42" s="90" t="s">
        <v>1198</v>
      </c>
      <c r="U42" s="90" t="s">
        <v>1198</v>
      </c>
      <c r="V42" s="90" t="s">
        <v>1198</v>
      </c>
      <c r="W42" s="90" t="s">
        <v>1198</v>
      </c>
      <c r="X42" s="91" t="s">
        <v>1189</v>
      </c>
      <c r="Z42" s="92" t="s">
        <v>357</v>
      </c>
      <c r="AA42" s="80">
        <v>1</v>
      </c>
      <c r="AB42" s="1">
        <v>1</v>
      </c>
      <c r="AC42" s="93" t="s">
        <v>724</v>
      </c>
      <c r="AD42" s="80">
        <v>1</v>
      </c>
      <c r="AE42" s="80">
        <v>3</v>
      </c>
      <c r="AF42" s="80">
        <v>4</v>
      </c>
      <c r="AG42" s="80" t="s">
        <v>285</v>
      </c>
      <c r="AH42" s="80" t="s">
        <v>285</v>
      </c>
      <c r="AI42" s="80" t="s">
        <v>285</v>
      </c>
      <c r="AJ42" s="80">
        <v>2</v>
      </c>
      <c r="AK42" s="90"/>
      <c r="AL42" s="78">
        <v>5</v>
      </c>
    </row>
    <row r="43" spans="1:38" ht="12.75">
      <c r="A43" s="78" t="s">
        <v>242</v>
      </c>
      <c r="B43" s="188" t="s">
        <v>185</v>
      </c>
      <c r="C43" s="188"/>
      <c r="D43" s="188"/>
      <c r="E43" s="188"/>
      <c r="F43" s="188"/>
      <c r="G43" s="188"/>
      <c r="H43" s="188"/>
      <c r="I43" s="188"/>
      <c r="J43" s="188"/>
      <c r="K43" s="78">
        <v>7</v>
      </c>
      <c r="L43" s="78">
        <v>0</v>
      </c>
      <c r="M43" s="78" t="s">
        <v>174</v>
      </c>
      <c r="N43" s="78" t="s">
        <v>57</v>
      </c>
      <c r="O43" s="78" t="s">
        <v>163</v>
      </c>
      <c r="P43" s="90" t="s">
        <v>185</v>
      </c>
      <c r="Q43" s="90" t="s">
        <v>185</v>
      </c>
      <c r="R43" s="90" t="s">
        <v>185</v>
      </c>
      <c r="S43" s="90" t="s">
        <v>185</v>
      </c>
      <c r="T43" s="90" t="s">
        <v>185</v>
      </c>
      <c r="U43" s="90" t="s">
        <v>201</v>
      </c>
      <c r="V43" s="90" t="s">
        <v>201</v>
      </c>
      <c r="W43" s="90" t="s">
        <v>185</v>
      </c>
      <c r="X43" s="91" t="s">
        <v>1189</v>
      </c>
      <c r="Z43" s="92" t="s">
        <v>358</v>
      </c>
      <c r="AA43" s="80">
        <v>1</v>
      </c>
      <c r="AB43" s="1">
        <v>1</v>
      </c>
      <c r="AC43" s="93" t="s">
        <v>710</v>
      </c>
      <c r="AD43" s="80">
        <v>1</v>
      </c>
      <c r="AE43" s="80">
        <v>3</v>
      </c>
      <c r="AF43" s="80">
        <v>4</v>
      </c>
      <c r="AG43" s="80" t="s">
        <v>285</v>
      </c>
      <c r="AH43" s="80" t="s">
        <v>285</v>
      </c>
      <c r="AI43" s="80" t="s">
        <v>285</v>
      </c>
      <c r="AJ43" s="80">
        <v>2</v>
      </c>
      <c r="AK43" s="90"/>
      <c r="AL43" s="78">
        <v>5</v>
      </c>
    </row>
    <row r="44" spans="1:38" ht="12.75">
      <c r="A44" s="78" t="s">
        <v>164</v>
      </c>
      <c r="B44" s="188" t="s">
        <v>184</v>
      </c>
      <c r="C44" s="188"/>
      <c r="D44" s="188"/>
      <c r="E44" s="188"/>
      <c r="F44" s="188"/>
      <c r="G44" s="188"/>
      <c r="H44" s="188"/>
      <c r="I44" s="188"/>
      <c r="J44" s="188"/>
      <c r="K44" s="78">
        <v>7</v>
      </c>
      <c r="L44" s="78">
        <v>5</v>
      </c>
      <c r="M44" s="78" t="s">
        <v>193</v>
      </c>
      <c r="N44" s="78" t="s">
        <v>57</v>
      </c>
      <c r="O44" s="78" t="s">
        <v>164</v>
      </c>
      <c r="P44" s="90" t="s">
        <v>184</v>
      </c>
      <c r="Q44" s="90" t="s">
        <v>184</v>
      </c>
      <c r="R44" s="90" t="s">
        <v>184</v>
      </c>
      <c r="S44" s="90" t="s">
        <v>184</v>
      </c>
      <c r="T44" s="90" t="s">
        <v>184</v>
      </c>
      <c r="U44" s="90" t="s">
        <v>184</v>
      </c>
      <c r="V44" s="90" t="s">
        <v>184</v>
      </c>
      <c r="W44" s="90" t="s">
        <v>184</v>
      </c>
      <c r="X44" s="91" t="s">
        <v>1189</v>
      </c>
      <c r="Z44" s="92" t="s">
        <v>359</v>
      </c>
      <c r="AA44" s="80">
        <v>3</v>
      </c>
      <c r="AB44" s="1">
        <v>3</v>
      </c>
      <c r="AC44" s="93" t="s">
        <v>725</v>
      </c>
      <c r="AD44" s="80">
        <v>2</v>
      </c>
      <c r="AE44" s="80">
        <v>3</v>
      </c>
      <c r="AF44" s="80">
        <v>4</v>
      </c>
      <c r="AG44" s="80" t="s">
        <v>285</v>
      </c>
      <c r="AH44" s="80" t="s">
        <v>285</v>
      </c>
      <c r="AI44" s="80" t="s">
        <v>285</v>
      </c>
      <c r="AJ44" s="80">
        <v>5</v>
      </c>
      <c r="AK44" s="90"/>
      <c r="AL44" s="78">
        <v>5</v>
      </c>
    </row>
    <row r="45" spans="1:38" ht="12.75">
      <c r="A45" s="78" t="s">
        <v>243</v>
      </c>
      <c r="B45" s="188" t="s">
        <v>182</v>
      </c>
      <c r="C45" s="188"/>
      <c r="D45" s="188"/>
      <c r="E45" s="188"/>
      <c r="F45" s="188"/>
      <c r="G45" s="188"/>
      <c r="H45" s="188"/>
      <c r="I45" s="188"/>
      <c r="J45" s="188"/>
      <c r="K45" s="78">
        <v>8</v>
      </c>
      <c r="L45" s="78">
        <v>4</v>
      </c>
      <c r="M45" s="78" t="s">
        <v>191</v>
      </c>
      <c r="N45" s="78" t="s">
        <v>57</v>
      </c>
      <c r="O45" s="78" t="s">
        <v>165</v>
      </c>
      <c r="P45" s="90" t="s">
        <v>182</v>
      </c>
      <c r="Q45" s="90" t="s">
        <v>182</v>
      </c>
      <c r="R45" s="90" t="s">
        <v>182</v>
      </c>
      <c r="S45" s="90" t="s">
        <v>182</v>
      </c>
      <c r="T45" s="90" t="s">
        <v>182</v>
      </c>
      <c r="U45" s="90" t="s">
        <v>182</v>
      </c>
      <c r="V45" s="90" t="s">
        <v>182</v>
      </c>
      <c r="W45" s="90" t="s">
        <v>182</v>
      </c>
      <c r="X45" s="91" t="s">
        <v>1189</v>
      </c>
      <c r="Z45" s="92" t="s">
        <v>360</v>
      </c>
      <c r="AA45" s="80">
        <v>4</v>
      </c>
      <c r="AB45" s="1">
        <v>2</v>
      </c>
      <c r="AC45" s="93" t="s">
        <v>342</v>
      </c>
      <c r="AD45" s="80">
        <v>2</v>
      </c>
      <c r="AE45" s="80">
        <v>4</v>
      </c>
      <c r="AF45" s="80">
        <v>5</v>
      </c>
      <c r="AG45" s="80" t="s">
        <v>285</v>
      </c>
      <c r="AH45" s="80" t="s">
        <v>285</v>
      </c>
      <c r="AI45" s="80" t="s">
        <v>285</v>
      </c>
      <c r="AJ45" s="80">
        <v>10</v>
      </c>
      <c r="AK45" s="90"/>
      <c r="AL45" s="78">
        <v>5</v>
      </c>
    </row>
    <row r="46" spans="1:38" ht="12.75">
      <c r="A46" s="78" t="s">
        <v>166</v>
      </c>
      <c r="B46" s="188" t="s">
        <v>183</v>
      </c>
      <c r="C46" s="188"/>
      <c r="D46" s="188"/>
      <c r="E46" s="188"/>
      <c r="F46" s="188"/>
      <c r="G46" s="188"/>
      <c r="H46" s="188"/>
      <c r="I46" s="188"/>
      <c r="J46" s="188"/>
      <c r="K46" s="78">
        <v>16</v>
      </c>
      <c r="L46" s="78">
        <v>5</v>
      </c>
      <c r="M46" s="78" t="s">
        <v>199</v>
      </c>
      <c r="N46" s="78" t="s">
        <v>57</v>
      </c>
      <c r="O46" s="78" t="s">
        <v>166</v>
      </c>
      <c r="P46" s="90" t="s">
        <v>183</v>
      </c>
      <c r="Q46" s="90" t="s">
        <v>183</v>
      </c>
      <c r="R46" s="90" t="s">
        <v>183</v>
      </c>
      <c r="S46" s="90" t="s">
        <v>183</v>
      </c>
      <c r="T46" s="90" t="s">
        <v>183</v>
      </c>
      <c r="U46" s="90" t="s">
        <v>201</v>
      </c>
      <c r="V46" s="90" t="s">
        <v>201</v>
      </c>
      <c r="W46" s="90" t="s">
        <v>201</v>
      </c>
      <c r="X46" s="91" t="s">
        <v>1189</v>
      </c>
      <c r="Z46" s="92" t="s">
        <v>361</v>
      </c>
      <c r="AA46" s="80">
        <v>5</v>
      </c>
      <c r="AB46" s="1">
        <v>10</v>
      </c>
      <c r="AC46" s="93" t="s">
        <v>708</v>
      </c>
      <c r="AD46" s="80">
        <v>1</v>
      </c>
      <c r="AE46" s="80">
        <v>5</v>
      </c>
      <c r="AF46" s="80">
        <v>5</v>
      </c>
      <c r="AG46" s="80" t="s">
        <v>285</v>
      </c>
      <c r="AH46" s="80" t="s">
        <v>285</v>
      </c>
      <c r="AI46" s="80" t="s">
        <v>285</v>
      </c>
      <c r="AJ46" s="80">
        <v>10</v>
      </c>
      <c r="AK46" s="90"/>
      <c r="AL46" s="78">
        <v>5</v>
      </c>
    </row>
    <row r="47" spans="1:38" ht="12.75">
      <c r="A47" s="78" t="s">
        <v>167</v>
      </c>
      <c r="B47" s="188" t="s">
        <v>187</v>
      </c>
      <c r="C47" s="188"/>
      <c r="D47" s="188"/>
      <c r="E47" s="188"/>
      <c r="F47" s="188"/>
      <c r="G47" s="188"/>
      <c r="H47" s="188"/>
      <c r="I47" s="188"/>
      <c r="J47" s="188"/>
      <c r="K47" s="78">
        <v>16</v>
      </c>
      <c r="L47" s="78">
        <v>1</v>
      </c>
      <c r="M47" s="78" t="s">
        <v>197</v>
      </c>
      <c r="N47" s="78" t="s">
        <v>57</v>
      </c>
      <c r="O47" s="78" t="s">
        <v>167</v>
      </c>
      <c r="P47" s="90" t="s">
        <v>187</v>
      </c>
      <c r="Q47" s="90" t="s">
        <v>187</v>
      </c>
      <c r="R47" s="90" t="s">
        <v>187</v>
      </c>
      <c r="S47" s="90" t="s">
        <v>187</v>
      </c>
      <c r="T47" s="90" t="s">
        <v>187</v>
      </c>
      <c r="U47" s="90" t="s">
        <v>187</v>
      </c>
      <c r="V47" s="90" t="s">
        <v>187</v>
      </c>
      <c r="W47" s="90" t="s">
        <v>201</v>
      </c>
      <c r="X47" s="91" t="s">
        <v>1189</v>
      </c>
      <c r="Z47" s="92" t="s">
        <v>362</v>
      </c>
      <c r="AA47" s="80">
        <v>4</v>
      </c>
      <c r="AB47" s="1">
        <v>5</v>
      </c>
      <c r="AC47" s="93" t="s">
        <v>726</v>
      </c>
      <c r="AD47" s="80">
        <v>2</v>
      </c>
      <c r="AE47" s="80">
        <v>4</v>
      </c>
      <c r="AF47" s="80">
        <v>5</v>
      </c>
      <c r="AG47" s="80" t="s">
        <v>285</v>
      </c>
      <c r="AH47" s="80" t="s">
        <v>285</v>
      </c>
      <c r="AI47" s="80" t="s">
        <v>285</v>
      </c>
      <c r="AJ47" s="80">
        <v>10</v>
      </c>
      <c r="AK47" s="90"/>
      <c r="AL47" s="78">
        <v>5</v>
      </c>
    </row>
    <row r="48" spans="1:38" ht="12.75">
      <c r="A48" s="78" t="s">
        <v>168</v>
      </c>
      <c r="B48" s="188" t="s">
        <v>202</v>
      </c>
      <c r="C48" s="188"/>
      <c r="D48" s="188"/>
      <c r="E48" s="188"/>
      <c r="F48" s="188"/>
      <c r="G48" s="188"/>
      <c r="H48" s="188"/>
      <c r="I48" s="188"/>
      <c r="J48" s="188"/>
      <c r="K48" s="78">
        <v>17</v>
      </c>
      <c r="L48" s="78">
        <v>-5</v>
      </c>
      <c r="M48" s="78" t="s">
        <v>199</v>
      </c>
      <c r="N48" s="78" t="s">
        <v>57</v>
      </c>
      <c r="O48" s="78" t="s">
        <v>168</v>
      </c>
      <c r="P48" s="90" t="s">
        <v>202</v>
      </c>
      <c r="Q48" s="90" t="s">
        <v>202</v>
      </c>
      <c r="R48" s="90" t="s">
        <v>202</v>
      </c>
      <c r="S48" s="90" t="s">
        <v>202</v>
      </c>
      <c r="T48" s="90" t="s">
        <v>202</v>
      </c>
      <c r="U48" s="90" t="s">
        <v>202</v>
      </c>
      <c r="V48" s="90" t="s">
        <v>202</v>
      </c>
      <c r="W48" s="90" t="s">
        <v>201</v>
      </c>
      <c r="X48" s="91" t="s">
        <v>1189</v>
      </c>
      <c r="Z48" s="92" t="s">
        <v>363</v>
      </c>
      <c r="AA48" s="80">
        <v>3</v>
      </c>
      <c r="AB48" s="1">
        <v>3</v>
      </c>
      <c r="AC48" s="93" t="s">
        <v>708</v>
      </c>
      <c r="AD48" s="80">
        <v>1</v>
      </c>
      <c r="AE48" s="80">
        <v>3</v>
      </c>
      <c r="AF48" s="80">
        <v>4</v>
      </c>
      <c r="AG48" s="80" t="s">
        <v>285</v>
      </c>
      <c r="AH48" s="80" t="s">
        <v>285</v>
      </c>
      <c r="AI48" s="80" t="s">
        <v>285</v>
      </c>
      <c r="AJ48" s="80">
        <v>30</v>
      </c>
      <c r="AK48" s="90"/>
      <c r="AL48" s="78">
        <v>5</v>
      </c>
    </row>
    <row r="49" spans="1:38" ht="12.75">
      <c r="A49" s="78" t="s">
        <v>244</v>
      </c>
      <c r="B49" s="188" t="s">
        <v>188</v>
      </c>
      <c r="C49" s="188"/>
      <c r="D49" s="188"/>
      <c r="E49" s="188"/>
      <c r="F49" s="188"/>
      <c r="G49" s="188"/>
      <c r="H49" s="188"/>
      <c r="I49" s="188"/>
      <c r="J49" s="188"/>
      <c r="K49" s="78">
        <v>17</v>
      </c>
      <c r="L49" s="78">
        <v>1</v>
      </c>
      <c r="M49" s="78" t="s">
        <v>114</v>
      </c>
      <c r="N49" s="78" t="s">
        <v>57</v>
      </c>
      <c r="O49" s="78" t="s">
        <v>169</v>
      </c>
      <c r="P49" s="90" t="s">
        <v>188</v>
      </c>
      <c r="Q49" s="90" t="s">
        <v>188</v>
      </c>
      <c r="R49" s="90" t="s">
        <v>188</v>
      </c>
      <c r="S49" s="90" t="s">
        <v>188</v>
      </c>
      <c r="T49" s="90" t="s">
        <v>188</v>
      </c>
      <c r="U49" s="90" t="s">
        <v>188</v>
      </c>
      <c r="V49" s="90" t="s">
        <v>188</v>
      </c>
      <c r="W49" s="90" t="s">
        <v>201</v>
      </c>
      <c r="X49" s="91" t="s">
        <v>1189</v>
      </c>
      <c r="Z49" s="92" t="s">
        <v>364</v>
      </c>
      <c r="AA49" s="80">
        <v>5</v>
      </c>
      <c r="AB49" s="1">
        <v>15</v>
      </c>
      <c r="AC49" s="93" t="s">
        <v>726</v>
      </c>
      <c r="AD49" s="80">
        <v>2</v>
      </c>
      <c r="AE49" s="80">
        <v>4</v>
      </c>
      <c r="AF49" s="80">
        <v>5</v>
      </c>
      <c r="AG49" s="80" t="s">
        <v>285</v>
      </c>
      <c r="AH49" s="80" t="s">
        <v>285</v>
      </c>
      <c r="AI49" s="80" t="s">
        <v>285</v>
      </c>
      <c r="AJ49" s="80">
        <v>30</v>
      </c>
      <c r="AK49" s="90"/>
      <c r="AL49" s="78">
        <v>5</v>
      </c>
    </row>
    <row r="50" spans="1:38" ht="12.75">
      <c r="A50" s="78" t="s">
        <v>170</v>
      </c>
      <c r="B50" s="188" t="s">
        <v>1188</v>
      </c>
      <c r="C50" s="188"/>
      <c r="D50" s="188"/>
      <c r="E50" s="188"/>
      <c r="F50" s="188"/>
      <c r="G50" s="188"/>
      <c r="H50" s="188"/>
      <c r="I50" s="188"/>
      <c r="J50" s="188"/>
      <c r="K50" s="78">
        <v>17</v>
      </c>
      <c r="L50" s="78">
        <v>1</v>
      </c>
      <c r="M50" s="78" t="s">
        <v>115</v>
      </c>
      <c r="N50" s="78" t="s">
        <v>57</v>
      </c>
      <c r="O50" s="78" t="s">
        <v>170</v>
      </c>
      <c r="P50" s="90" t="s">
        <v>1188</v>
      </c>
      <c r="Q50" s="90" t="s">
        <v>1188</v>
      </c>
      <c r="R50" s="90" t="s">
        <v>1188</v>
      </c>
      <c r="S50" s="90" t="s">
        <v>1188</v>
      </c>
      <c r="T50" s="90" t="s">
        <v>1188</v>
      </c>
      <c r="U50" s="90" t="s">
        <v>1188</v>
      </c>
      <c r="V50" s="90" t="s">
        <v>201</v>
      </c>
      <c r="W50" s="90" t="s">
        <v>1188</v>
      </c>
      <c r="X50" s="91" t="s">
        <v>1189</v>
      </c>
      <c r="Z50" s="92" t="s">
        <v>365</v>
      </c>
      <c r="AA50" s="80">
        <v>2</v>
      </c>
      <c r="AB50" s="1">
        <v>1</v>
      </c>
      <c r="AC50" s="93" t="s">
        <v>708</v>
      </c>
      <c r="AD50" s="80">
        <v>1</v>
      </c>
      <c r="AE50" s="80">
        <v>3</v>
      </c>
      <c r="AF50" s="80">
        <v>4</v>
      </c>
      <c r="AG50" s="80" t="s">
        <v>285</v>
      </c>
      <c r="AH50" s="80" t="s">
        <v>285</v>
      </c>
      <c r="AI50" s="80" t="s">
        <v>285</v>
      </c>
      <c r="AJ50" s="80">
        <v>40</v>
      </c>
      <c r="AK50" s="90"/>
      <c r="AL50" s="78">
        <v>5</v>
      </c>
    </row>
    <row r="51" spans="1:38" ht="12.75">
      <c r="A51" s="78" t="s">
        <v>254</v>
      </c>
      <c r="B51" s="188" t="s">
        <v>203</v>
      </c>
      <c r="C51" s="188"/>
      <c r="D51" s="188"/>
      <c r="E51" s="188"/>
      <c r="F51" s="188"/>
      <c r="G51" s="188"/>
      <c r="H51" s="188"/>
      <c r="I51" s="188"/>
      <c r="J51" s="188"/>
      <c r="K51" s="78">
        <v>17</v>
      </c>
      <c r="L51" s="78">
        <v>1</v>
      </c>
      <c r="M51" s="78" t="s">
        <v>116</v>
      </c>
      <c r="N51" s="78" t="s">
        <v>57</v>
      </c>
      <c r="O51" s="78" t="s">
        <v>171</v>
      </c>
      <c r="P51" s="90" t="s">
        <v>203</v>
      </c>
      <c r="Q51" s="90" t="s">
        <v>203</v>
      </c>
      <c r="R51" s="90" t="s">
        <v>203</v>
      </c>
      <c r="S51" s="90" t="s">
        <v>203</v>
      </c>
      <c r="T51" s="90" t="s">
        <v>203</v>
      </c>
      <c r="U51" s="90" t="s">
        <v>203</v>
      </c>
      <c r="V51" s="90" t="s">
        <v>203</v>
      </c>
      <c r="W51" s="90" t="s">
        <v>201</v>
      </c>
      <c r="X51" s="91" t="s">
        <v>1189</v>
      </c>
      <c r="Z51" s="92" t="s">
        <v>366</v>
      </c>
      <c r="AA51" s="80">
        <v>5</v>
      </c>
      <c r="AB51" s="1">
        <v>3</v>
      </c>
      <c r="AC51" s="93" t="s">
        <v>712</v>
      </c>
      <c r="AD51" s="80">
        <v>1</v>
      </c>
      <c r="AE51" s="80">
        <v>4</v>
      </c>
      <c r="AF51" s="80">
        <v>5</v>
      </c>
      <c r="AG51" s="80" t="s">
        <v>285</v>
      </c>
      <c r="AH51" s="80" t="s">
        <v>285</v>
      </c>
      <c r="AI51" s="80" t="s">
        <v>285</v>
      </c>
      <c r="AJ51" s="80">
        <v>40</v>
      </c>
      <c r="AK51" s="90"/>
      <c r="AL51" s="78">
        <v>5</v>
      </c>
    </row>
    <row r="52" spans="1:38" ht="12.75">
      <c r="A52" s="78" t="s">
        <v>172</v>
      </c>
      <c r="B52" s="188" t="s">
        <v>204</v>
      </c>
      <c r="C52" s="188"/>
      <c r="D52" s="188"/>
      <c r="E52" s="188"/>
      <c r="F52" s="188"/>
      <c r="G52" s="188"/>
      <c r="H52" s="188"/>
      <c r="I52" s="188"/>
      <c r="J52" s="188"/>
      <c r="K52" s="78">
        <v>17</v>
      </c>
      <c r="L52" s="78">
        <v>1</v>
      </c>
      <c r="M52" s="78" t="s">
        <v>117</v>
      </c>
      <c r="N52" s="78" t="s">
        <v>57</v>
      </c>
      <c r="O52" s="78" t="s">
        <v>172</v>
      </c>
      <c r="P52" s="90" t="s">
        <v>204</v>
      </c>
      <c r="Q52" s="90" t="s">
        <v>201</v>
      </c>
      <c r="R52" s="90" t="s">
        <v>201</v>
      </c>
      <c r="S52" s="90" t="s">
        <v>201</v>
      </c>
      <c r="T52" s="90" t="s">
        <v>201</v>
      </c>
      <c r="U52" s="90" t="s">
        <v>201</v>
      </c>
      <c r="V52" s="90" t="s">
        <v>201</v>
      </c>
      <c r="W52" s="90" t="s">
        <v>201</v>
      </c>
      <c r="X52" s="91" t="s">
        <v>1189</v>
      </c>
      <c r="Z52" s="92" t="s">
        <v>367</v>
      </c>
      <c r="AA52" s="80">
        <v>3</v>
      </c>
      <c r="AB52" s="1">
        <v>2</v>
      </c>
      <c r="AC52" s="93" t="s">
        <v>712</v>
      </c>
      <c r="AD52" s="80">
        <v>1</v>
      </c>
      <c r="AE52" s="80">
        <v>3</v>
      </c>
      <c r="AF52" s="80">
        <v>4</v>
      </c>
      <c r="AG52" s="80" t="s">
        <v>285</v>
      </c>
      <c r="AH52" s="80" t="s">
        <v>285</v>
      </c>
      <c r="AI52" s="80" t="s">
        <v>285</v>
      </c>
      <c r="AJ52" s="80">
        <v>45</v>
      </c>
      <c r="AK52" s="90"/>
      <c r="AL52" s="78">
        <v>5</v>
      </c>
    </row>
    <row r="53" spans="1:38" ht="12.75">
      <c r="A53" s="78" t="s">
        <v>232</v>
      </c>
      <c r="B53" s="188" t="s">
        <v>205</v>
      </c>
      <c r="C53" s="188"/>
      <c r="D53" s="188"/>
      <c r="E53" s="188"/>
      <c r="F53" s="188"/>
      <c r="G53" s="188"/>
      <c r="H53" s="188"/>
      <c r="I53" s="188"/>
      <c r="J53" s="188"/>
      <c r="K53" s="78">
        <v>17</v>
      </c>
      <c r="L53" s="78">
        <v>1</v>
      </c>
      <c r="M53" s="78" t="s">
        <v>118</v>
      </c>
      <c r="N53" s="78" t="s">
        <v>57</v>
      </c>
      <c r="O53" s="78" t="s">
        <v>42</v>
      </c>
      <c r="P53" s="90" t="s">
        <v>201</v>
      </c>
      <c r="Q53" s="90" t="s">
        <v>205</v>
      </c>
      <c r="R53" s="90" t="s">
        <v>201</v>
      </c>
      <c r="S53" s="90" t="s">
        <v>201</v>
      </c>
      <c r="T53" s="90" t="s">
        <v>201</v>
      </c>
      <c r="U53" s="90" t="s">
        <v>201</v>
      </c>
      <c r="V53" s="90" t="s">
        <v>201</v>
      </c>
      <c r="W53" s="90" t="s">
        <v>201</v>
      </c>
      <c r="X53" s="91" t="s">
        <v>1189</v>
      </c>
      <c r="Z53" s="92" t="s">
        <v>368</v>
      </c>
      <c r="AA53" s="80">
        <v>1</v>
      </c>
      <c r="AB53" s="1">
        <v>1</v>
      </c>
      <c r="AC53" s="93" t="s">
        <v>710</v>
      </c>
      <c r="AD53" s="80">
        <v>1</v>
      </c>
      <c r="AE53" s="80">
        <v>3</v>
      </c>
      <c r="AF53" s="80">
        <v>4</v>
      </c>
      <c r="AG53" s="80" t="s">
        <v>285</v>
      </c>
      <c r="AH53" s="80" t="s">
        <v>285</v>
      </c>
      <c r="AI53" s="80" t="s">
        <v>285</v>
      </c>
      <c r="AJ53" s="80">
        <v>50</v>
      </c>
      <c r="AK53" s="90"/>
      <c r="AL53" s="78">
        <v>5</v>
      </c>
    </row>
    <row r="54" spans="1:38" ht="12.75">
      <c r="A54" s="78" t="s">
        <v>245</v>
      </c>
      <c r="B54" s="188" t="s">
        <v>189</v>
      </c>
      <c r="C54" s="188"/>
      <c r="D54" s="188"/>
      <c r="E54" s="188"/>
      <c r="F54" s="188"/>
      <c r="G54" s="188"/>
      <c r="H54" s="188"/>
      <c r="I54" s="188"/>
      <c r="J54" s="188"/>
      <c r="K54" s="78">
        <v>17</v>
      </c>
      <c r="L54" s="78">
        <v>1</v>
      </c>
      <c r="M54" s="78" t="s">
        <v>119</v>
      </c>
      <c r="N54" s="78" t="s">
        <v>57</v>
      </c>
      <c r="O54" s="78" t="s">
        <v>43</v>
      </c>
      <c r="P54" s="90" t="s">
        <v>201</v>
      </c>
      <c r="Q54" s="90" t="s">
        <v>189</v>
      </c>
      <c r="R54" s="90" t="s">
        <v>201</v>
      </c>
      <c r="S54" s="90" t="s">
        <v>201</v>
      </c>
      <c r="T54" s="90" t="s">
        <v>201</v>
      </c>
      <c r="U54" s="90" t="s">
        <v>201</v>
      </c>
      <c r="V54" s="90" t="s">
        <v>201</v>
      </c>
      <c r="W54" s="90" t="s">
        <v>201</v>
      </c>
      <c r="X54" s="91" t="s">
        <v>1189</v>
      </c>
      <c r="Z54" s="92" t="s">
        <v>369</v>
      </c>
      <c r="AA54" s="80">
        <v>3</v>
      </c>
      <c r="AB54" s="1">
        <v>4</v>
      </c>
      <c r="AC54" s="93" t="s">
        <v>727</v>
      </c>
      <c r="AD54" s="80">
        <v>1</v>
      </c>
      <c r="AE54" s="80">
        <v>4</v>
      </c>
      <c r="AF54" s="80">
        <v>5</v>
      </c>
      <c r="AG54" s="80" t="s">
        <v>285</v>
      </c>
      <c r="AH54" s="80" t="s">
        <v>285</v>
      </c>
      <c r="AI54" s="80" t="s">
        <v>285</v>
      </c>
      <c r="AJ54" s="80">
        <v>65</v>
      </c>
      <c r="AK54" s="90"/>
      <c r="AL54" s="78">
        <v>5</v>
      </c>
    </row>
    <row r="55" spans="1:38" ht="12.75">
      <c r="A55" s="78" t="s">
        <v>246</v>
      </c>
      <c r="B55" s="188" t="s">
        <v>206</v>
      </c>
      <c r="C55" s="188"/>
      <c r="D55" s="188"/>
      <c r="E55" s="188"/>
      <c r="F55" s="188"/>
      <c r="G55" s="188"/>
      <c r="H55" s="188"/>
      <c r="I55" s="188"/>
      <c r="J55" s="188"/>
      <c r="K55" s="78">
        <v>17</v>
      </c>
      <c r="L55" s="78">
        <v>1</v>
      </c>
      <c r="M55" s="78" t="s">
        <v>120</v>
      </c>
      <c r="N55" s="78" t="s">
        <v>57</v>
      </c>
      <c r="O55" s="78" t="s">
        <v>44</v>
      </c>
      <c r="P55" s="90" t="s">
        <v>201</v>
      </c>
      <c r="Q55" s="90" t="s">
        <v>206</v>
      </c>
      <c r="R55" s="90" t="s">
        <v>201</v>
      </c>
      <c r="S55" s="90" t="s">
        <v>201</v>
      </c>
      <c r="T55" s="90" t="s">
        <v>201</v>
      </c>
      <c r="U55" s="90" t="s">
        <v>201</v>
      </c>
      <c r="V55" s="90" t="s">
        <v>201</v>
      </c>
      <c r="W55" s="90" t="s">
        <v>201</v>
      </c>
      <c r="X55" s="91" t="s">
        <v>1189</v>
      </c>
      <c r="Z55" s="92" t="s">
        <v>370</v>
      </c>
      <c r="AA55" s="80">
        <v>5</v>
      </c>
      <c r="AB55" s="1">
        <v>5</v>
      </c>
      <c r="AC55" s="93" t="s">
        <v>728</v>
      </c>
      <c r="AD55" s="80">
        <v>1</v>
      </c>
      <c r="AE55" s="80">
        <v>4</v>
      </c>
      <c r="AF55" s="80">
        <v>5</v>
      </c>
      <c r="AG55" s="80" t="s">
        <v>285</v>
      </c>
      <c r="AH55" s="80" t="s">
        <v>285</v>
      </c>
      <c r="AI55" s="80" t="s">
        <v>285</v>
      </c>
      <c r="AJ55" s="80">
        <v>65</v>
      </c>
      <c r="AK55" s="90"/>
      <c r="AL55" s="78">
        <v>5</v>
      </c>
    </row>
    <row r="56" spans="1:38" ht="12.75">
      <c r="A56" s="78" t="s">
        <v>233</v>
      </c>
      <c r="B56" s="188" t="s">
        <v>207</v>
      </c>
      <c r="C56" s="188"/>
      <c r="D56" s="188"/>
      <c r="E56" s="188"/>
      <c r="F56" s="188"/>
      <c r="G56" s="188"/>
      <c r="H56" s="188"/>
      <c r="I56" s="188"/>
      <c r="J56" s="188"/>
      <c r="K56" s="78">
        <v>19</v>
      </c>
      <c r="L56" s="84">
        <v>0.5</v>
      </c>
      <c r="M56" s="78" t="s">
        <v>192</v>
      </c>
      <c r="N56" s="78" t="s">
        <v>57</v>
      </c>
      <c r="O56" s="78" t="s">
        <v>45</v>
      </c>
      <c r="P56" s="90" t="s">
        <v>201</v>
      </c>
      <c r="Q56" s="90" t="s">
        <v>201</v>
      </c>
      <c r="R56" s="90" t="s">
        <v>207</v>
      </c>
      <c r="S56" s="90" t="s">
        <v>207</v>
      </c>
      <c r="T56" s="90" t="s">
        <v>201</v>
      </c>
      <c r="U56" s="90" t="s">
        <v>201</v>
      </c>
      <c r="V56" s="90" t="s">
        <v>201</v>
      </c>
      <c r="W56" s="90" t="s">
        <v>201</v>
      </c>
      <c r="X56" s="91" t="s">
        <v>1189</v>
      </c>
      <c r="Z56" s="92" t="s">
        <v>371</v>
      </c>
      <c r="AA56" s="80">
        <v>4</v>
      </c>
      <c r="AB56" s="1">
        <v>4</v>
      </c>
      <c r="AC56" s="93" t="s">
        <v>728</v>
      </c>
      <c r="AD56" s="80">
        <v>2</v>
      </c>
      <c r="AE56" s="80">
        <v>4</v>
      </c>
      <c r="AF56" s="80">
        <v>5</v>
      </c>
      <c r="AG56" s="80" t="s">
        <v>285</v>
      </c>
      <c r="AH56" s="80" t="s">
        <v>285</v>
      </c>
      <c r="AI56" s="80" t="s">
        <v>285</v>
      </c>
      <c r="AJ56" s="80">
        <v>80</v>
      </c>
      <c r="AK56" s="90"/>
      <c r="AL56" s="78">
        <v>5</v>
      </c>
    </row>
    <row r="57" spans="1:38" ht="12.75">
      <c r="A57" s="78" t="s">
        <v>234</v>
      </c>
      <c r="B57" s="188" t="s">
        <v>208</v>
      </c>
      <c r="C57" s="188"/>
      <c r="D57" s="188"/>
      <c r="E57" s="188"/>
      <c r="F57" s="188"/>
      <c r="G57" s="188"/>
      <c r="H57" s="188"/>
      <c r="I57" s="188"/>
      <c r="J57" s="188"/>
      <c r="K57" s="78">
        <v>20</v>
      </c>
      <c r="L57" s="78">
        <v>-1</v>
      </c>
      <c r="M57" s="78" t="s">
        <v>115</v>
      </c>
      <c r="N57" s="78" t="s">
        <v>57</v>
      </c>
      <c r="O57" s="78" t="s">
        <v>46</v>
      </c>
      <c r="P57" s="90" t="s">
        <v>201</v>
      </c>
      <c r="Q57" s="90" t="s">
        <v>201</v>
      </c>
      <c r="R57" s="90" t="s">
        <v>208</v>
      </c>
      <c r="S57" s="90" t="s">
        <v>208</v>
      </c>
      <c r="T57" s="90" t="s">
        <v>201</v>
      </c>
      <c r="U57" s="90" t="s">
        <v>201</v>
      </c>
      <c r="V57" s="90" t="s">
        <v>201</v>
      </c>
      <c r="W57" s="90" t="s">
        <v>201</v>
      </c>
      <c r="X57" s="91" t="s">
        <v>1189</v>
      </c>
      <c r="Z57" s="92" t="s">
        <v>372</v>
      </c>
      <c r="AA57" s="80">
        <v>4</v>
      </c>
      <c r="AB57" s="1">
        <v>1</v>
      </c>
      <c r="AC57" s="93" t="s">
        <v>729</v>
      </c>
      <c r="AD57" s="80">
        <v>1</v>
      </c>
      <c r="AE57" s="80">
        <v>4</v>
      </c>
      <c r="AF57" s="80">
        <v>5</v>
      </c>
      <c r="AG57" s="80" t="s">
        <v>285</v>
      </c>
      <c r="AH57" s="80" t="s">
        <v>285</v>
      </c>
      <c r="AI57" s="80" t="s">
        <v>285</v>
      </c>
      <c r="AJ57" s="80">
        <v>100</v>
      </c>
      <c r="AK57" s="90"/>
      <c r="AL57" s="78">
        <v>5</v>
      </c>
    </row>
    <row r="58" spans="1:38" ht="12.75">
      <c r="A58" s="78" t="s">
        <v>247</v>
      </c>
      <c r="B58" s="188" t="s">
        <v>190</v>
      </c>
      <c r="C58" s="188"/>
      <c r="D58" s="188"/>
      <c r="E58" s="188"/>
      <c r="F58" s="188"/>
      <c r="G58" s="188"/>
      <c r="H58" s="188"/>
      <c r="I58" s="188"/>
      <c r="J58" s="188"/>
      <c r="K58" s="78">
        <v>22</v>
      </c>
      <c r="L58" s="78">
        <v>10</v>
      </c>
      <c r="M58" s="78" t="s">
        <v>174</v>
      </c>
      <c r="N58" s="78" t="s">
        <v>57</v>
      </c>
      <c r="O58" s="78" t="s">
        <v>47</v>
      </c>
      <c r="P58" s="90" t="s">
        <v>201</v>
      </c>
      <c r="Q58" s="90" t="s">
        <v>201</v>
      </c>
      <c r="R58" s="90" t="s">
        <v>201</v>
      </c>
      <c r="S58" s="90" t="s">
        <v>201</v>
      </c>
      <c r="T58" s="90" t="s">
        <v>201</v>
      </c>
      <c r="U58" s="90" t="s">
        <v>190</v>
      </c>
      <c r="V58" s="90" t="s">
        <v>201</v>
      </c>
      <c r="W58" s="90" t="s">
        <v>201</v>
      </c>
      <c r="X58" s="91" t="s">
        <v>1189</v>
      </c>
      <c r="Z58" s="92" t="s">
        <v>373</v>
      </c>
      <c r="AA58" s="80">
        <v>4</v>
      </c>
      <c r="AB58" s="1">
        <v>1</v>
      </c>
      <c r="AC58" s="93" t="s">
        <v>730</v>
      </c>
      <c r="AD58" s="80">
        <v>1</v>
      </c>
      <c r="AE58" s="80">
        <v>3</v>
      </c>
      <c r="AF58" s="80">
        <v>4</v>
      </c>
      <c r="AG58" s="80" t="s">
        <v>285</v>
      </c>
      <c r="AH58" s="80" t="s">
        <v>285</v>
      </c>
      <c r="AI58" s="80" t="s">
        <v>285</v>
      </c>
      <c r="AJ58" s="80">
        <v>110</v>
      </c>
      <c r="AK58" s="90"/>
      <c r="AL58" s="78">
        <v>5</v>
      </c>
    </row>
    <row r="59" spans="1:38" ht="12.75">
      <c r="A59" s="78" t="s">
        <v>235</v>
      </c>
      <c r="B59" s="188" t="s">
        <v>209</v>
      </c>
      <c r="C59" s="188"/>
      <c r="D59" s="188"/>
      <c r="E59" s="188"/>
      <c r="F59" s="188"/>
      <c r="G59" s="188"/>
      <c r="H59" s="188"/>
      <c r="I59" s="188"/>
      <c r="J59" s="188"/>
      <c r="K59" s="78">
        <v>24</v>
      </c>
      <c r="L59" s="78">
        <v>2</v>
      </c>
      <c r="M59" s="78" t="s">
        <v>118</v>
      </c>
      <c r="N59" s="78" t="s">
        <v>57</v>
      </c>
      <c r="O59" s="78" t="s">
        <v>48</v>
      </c>
      <c r="P59" s="90" t="s">
        <v>201</v>
      </c>
      <c r="Q59" s="90" t="s">
        <v>201</v>
      </c>
      <c r="R59" s="90" t="s">
        <v>201</v>
      </c>
      <c r="S59" s="90" t="s">
        <v>201</v>
      </c>
      <c r="T59" s="90" t="s">
        <v>201</v>
      </c>
      <c r="U59" s="90" t="s">
        <v>209</v>
      </c>
      <c r="V59" s="90" t="s">
        <v>201</v>
      </c>
      <c r="W59" s="90" t="s">
        <v>201</v>
      </c>
      <c r="X59" s="91" t="s">
        <v>1189</v>
      </c>
      <c r="Z59" s="92" t="s">
        <v>374</v>
      </c>
      <c r="AA59" s="80">
        <v>6</v>
      </c>
      <c r="AB59" s="1">
        <v>12</v>
      </c>
      <c r="AC59" s="93" t="s">
        <v>731</v>
      </c>
      <c r="AD59" s="80">
        <v>2</v>
      </c>
      <c r="AE59" s="80">
        <v>4</v>
      </c>
      <c r="AF59" s="80">
        <v>5</v>
      </c>
      <c r="AG59" s="80" t="s">
        <v>285</v>
      </c>
      <c r="AH59" s="80" t="s">
        <v>285</v>
      </c>
      <c r="AI59" s="80" t="s">
        <v>285</v>
      </c>
      <c r="AJ59" s="80">
        <v>120</v>
      </c>
      <c r="AK59" s="90"/>
      <c r="AL59" s="78">
        <v>5</v>
      </c>
    </row>
    <row r="60" spans="1:38" ht="12.75">
      <c r="A60" s="78" t="s">
        <v>236</v>
      </c>
      <c r="B60" s="188" t="s">
        <v>328</v>
      </c>
      <c r="C60" s="188"/>
      <c r="D60" s="188"/>
      <c r="E60" s="188"/>
      <c r="F60" s="188"/>
      <c r="G60" s="188"/>
      <c r="H60" s="188"/>
      <c r="I60" s="188"/>
      <c r="J60" s="188"/>
      <c r="K60" s="78">
        <v>24</v>
      </c>
      <c r="L60" s="78">
        <v>-2</v>
      </c>
      <c r="M60" s="78" t="s">
        <v>191</v>
      </c>
      <c r="N60" s="78" t="s">
        <v>57</v>
      </c>
      <c r="O60" s="78" t="s">
        <v>49</v>
      </c>
      <c r="P60" s="90" t="s">
        <v>201</v>
      </c>
      <c r="Q60" s="90" t="s">
        <v>201</v>
      </c>
      <c r="R60" s="90" t="s">
        <v>201</v>
      </c>
      <c r="S60" s="90" t="s">
        <v>201</v>
      </c>
      <c r="T60" s="90" t="s">
        <v>201</v>
      </c>
      <c r="U60" s="90" t="s">
        <v>201</v>
      </c>
      <c r="V60" s="90" t="s">
        <v>201</v>
      </c>
      <c r="W60" s="90" t="s">
        <v>329</v>
      </c>
      <c r="X60" s="91" t="s">
        <v>1189</v>
      </c>
      <c r="Z60" s="92" t="s">
        <v>375</v>
      </c>
      <c r="AA60" s="80">
        <v>1</v>
      </c>
      <c r="AB60" s="1">
        <v>1</v>
      </c>
      <c r="AC60" s="93" t="s">
        <v>732</v>
      </c>
      <c r="AD60" s="80">
        <v>1</v>
      </c>
      <c r="AE60" s="80">
        <v>3</v>
      </c>
      <c r="AF60" s="80">
        <v>4</v>
      </c>
      <c r="AG60" s="80" t="s">
        <v>285</v>
      </c>
      <c r="AH60" s="80" t="s">
        <v>285</v>
      </c>
      <c r="AI60" s="80" t="s">
        <v>285</v>
      </c>
      <c r="AJ60" s="80">
        <v>140</v>
      </c>
      <c r="AK60" s="90"/>
      <c r="AL60" s="78">
        <v>5</v>
      </c>
    </row>
    <row r="61" spans="1:38" ht="12.75">
      <c r="A61" s="78" t="s">
        <v>237</v>
      </c>
      <c r="B61" s="188" t="s">
        <v>200</v>
      </c>
      <c r="C61" s="188"/>
      <c r="D61" s="188"/>
      <c r="E61" s="188"/>
      <c r="F61" s="188"/>
      <c r="G61" s="188"/>
      <c r="H61" s="188"/>
      <c r="I61" s="188"/>
      <c r="J61" s="188"/>
      <c r="O61" s="78" t="s">
        <v>50</v>
      </c>
      <c r="P61" s="90" t="s">
        <v>201</v>
      </c>
      <c r="Q61" s="90" t="s">
        <v>201</v>
      </c>
      <c r="R61" s="90" t="s">
        <v>201</v>
      </c>
      <c r="S61" s="90" t="s">
        <v>201</v>
      </c>
      <c r="T61" s="90" t="s">
        <v>201</v>
      </c>
      <c r="U61" s="90" t="s">
        <v>201</v>
      </c>
      <c r="V61" s="90" t="s">
        <v>201</v>
      </c>
      <c r="W61" s="90" t="s">
        <v>200</v>
      </c>
      <c r="X61" s="91" t="s">
        <v>1189</v>
      </c>
      <c r="Z61" s="92" t="s">
        <v>376</v>
      </c>
      <c r="AA61" s="80">
        <v>2</v>
      </c>
      <c r="AB61" s="1">
        <v>2</v>
      </c>
      <c r="AC61" s="93" t="s">
        <v>728</v>
      </c>
      <c r="AD61" s="80">
        <v>1</v>
      </c>
      <c r="AE61" s="80">
        <v>3</v>
      </c>
      <c r="AF61" s="80">
        <v>4</v>
      </c>
      <c r="AG61" s="80" t="s">
        <v>285</v>
      </c>
      <c r="AH61" s="80" t="s">
        <v>285</v>
      </c>
      <c r="AI61" s="80" t="s">
        <v>285</v>
      </c>
      <c r="AJ61" s="80">
        <v>165</v>
      </c>
      <c r="AK61" s="90"/>
      <c r="AL61" s="78">
        <v>5</v>
      </c>
    </row>
    <row r="62" spans="1:38" ht="12.75">
      <c r="A62" s="78" t="s">
        <v>248</v>
      </c>
      <c r="B62" s="188" t="s">
        <v>210</v>
      </c>
      <c r="C62" s="188"/>
      <c r="D62" s="188"/>
      <c r="E62" s="188"/>
      <c r="F62" s="188"/>
      <c r="G62" s="188"/>
      <c r="H62" s="188"/>
      <c r="I62" s="188"/>
      <c r="J62" s="188"/>
      <c r="O62" s="78" t="s">
        <v>51</v>
      </c>
      <c r="P62" s="90" t="s">
        <v>201</v>
      </c>
      <c r="Q62" s="90" t="s">
        <v>201</v>
      </c>
      <c r="R62" s="90" t="s">
        <v>201</v>
      </c>
      <c r="S62" s="90" t="s">
        <v>201</v>
      </c>
      <c r="T62" s="90" t="s">
        <v>201</v>
      </c>
      <c r="U62" s="90" t="s">
        <v>201</v>
      </c>
      <c r="V62" s="90" t="s">
        <v>201</v>
      </c>
      <c r="W62" s="90" t="s">
        <v>210</v>
      </c>
      <c r="X62" s="91" t="s">
        <v>1189</v>
      </c>
      <c r="Z62" s="92" t="s">
        <v>377</v>
      </c>
      <c r="AA62" s="80">
        <v>2</v>
      </c>
      <c r="AB62" s="1">
        <v>2</v>
      </c>
      <c r="AC62" s="93" t="s">
        <v>733</v>
      </c>
      <c r="AD62" s="80">
        <v>1</v>
      </c>
      <c r="AE62" s="80">
        <v>3</v>
      </c>
      <c r="AF62" s="80">
        <v>4</v>
      </c>
      <c r="AG62" s="80" t="s">
        <v>285</v>
      </c>
      <c r="AH62" s="80" t="s">
        <v>285</v>
      </c>
      <c r="AI62" s="80" t="s">
        <v>285</v>
      </c>
      <c r="AJ62" s="80">
        <v>200</v>
      </c>
      <c r="AK62" s="90"/>
      <c r="AL62" s="78">
        <v>5</v>
      </c>
    </row>
    <row r="63" spans="1:38" ht="12.75">
      <c r="A63" s="78" t="s">
        <v>238</v>
      </c>
      <c r="B63" s="188" t="s">
        <v>211</v>
      </c>
      <c r="C63" s="188"/>
      <c r="D63" s="188"/>
      <c r="E63" s="188"/>
      <c r="F63" s="188"/>
      <c r="G63" s="188"/>
      <c r="H63" s="188"/>
      <c r="I63" s="188"/>
      <c r="J63" s="188"/>
      <c r="O63" s="78" t="s">
        <v>52</v>
      </c>
      <c r="P63" s="90" t="s">
        <v>201</v>
      </c>
      <c r="Q63" s="90" t="s">
        <v>201</v>
      </c>
      <c r="R63" s="90" t="s">
        <v>201</v>
      </c>
      <c r="S63" s="90" t="s">
        <v>201</v>
      </c>
      <c r="T63" s="90" t="s">
        <v>201</v>
      </c>
      <c r="U63" s="90" t="s">
        <v>201</v>
      </c>
      <c r="V63" s="90" t="s">
        <v>201</v>
      </c>
      <c r="W63" s="90" t="s">
        <v>211</v>
      </c>
      <c r="X63" s="91" t="s">
        <v>1189</v>
      </c>
      <c r="Z63" s="92" t="s">
        <v>378</v>
      </c>
      <c r="AA63" s="80">
        <v>4</v>
      </c>
      <c r="AB63" s="1">
        <v>4</v>
      </c>
      <c r="AC63" s="93" t="s">
        <v>716</v>
      </c>
      <c r="AD63" s="80">
        <v>2</v>
      </c>
      <c r="AE63" s="80">
        <v>3</v>
      </c>
      <c r="AF63" s="80">
        <v>4</v>
      </c>
      <c r="AG63" s="80" t="s">
        <v>285</v>
      </c>
      <c r="AH63" s="80" t="s">
        <v>285</v>
      </c>
      <c r="AI63" s="80" t="s">
        <v>285</v>
      </c>
      <c r="AJ63" s="80">
        <v>250</v>
      </c>
      <c r="AK63" s="90"/>
      <c r="AL63" s="78">
        <v>5</v>
      </c>
    </row>
    <row r="64" spans="24:38" ht="12.75">
      <c r="X64" s="91"/>
      <c r="Z64" s="92" t="s">
        <v>605</v>
      </c>
      <c r="AA64" s="80">
        <v>4</v>
      </c>
      <c r="AB64" s="1">
        <v>5</v>
      </c>
      <c r="AC64" s="93" t="s">
        <v>734</v>
      </c>
      <c r="AD64" s="80">
        <v>1</v>
      </c>
      <c r="AE64" s="80">
        <v>4</v>
      </c>
      <c r="AF64" s="80">
        <v>5</v>
      </c>
      <c r="AG64" s="80" t="s">
        <v>285</v>
      </c>
      <c r="AH64" s="80" t="s">
        <v>285</v>
      </c>
      <c r="AI64" s="80">
        <v>25</v>
      </c>
      <c r="AJ64" s="80">
        <v>600</v>
      </c>
      <c r="AK64" s="90"/>
      <c r="AL64" s="78">
        <v>5</v>
      </c>
    </row>
    <row r="65" spans="26:38" ht="12.75">
      <c r="Z65" s="92" t="s">
        <v>379</v>
      </c>
      <c r="AA65" s="80">
        <v>5</v>
      </c>
      <c r="AB65" s="1">
        <v>3</v>
      </c>
      <c r="AC65" s="93" t="s">
        <v>735</v>
      </c>
      <c r="AD65" s="80">
        <v>1</v>
      </c>
      <c r="AE65" s="80">
        <v>4</v>
      </c>
      <c r="AF65" s="80">
        <v>5</v>
      </c>
      <c r="AG65" s="80" t="s">
        <v>285</v>
      </c>
      <c r="AH65" s="80" t="s">
        <v>285</v>
      </c>
      <c r="AI65" s="80" t="s">
        <v>285</v>
      </c>
      <c r="AJ65" s="80">
        <v>900</v>
      </c>
      <c r="AK65" s="90"/>
      <c r="AL65" s="78">
        <v>5</v>
      </c>
    </row>
    <row r="66" spans="26:38" ht="12.75">
      <c r="Z66" s="92" t="s">
        <v>606</v>
      </c>
      <c r="AA66" s="80">
        <v>4</v>
      </c>
      <c r="AB66" s="1">
        <v>5</v>
      </c>
      <c r="AC66" s="93" t="s">
        <v>738</v>
      </c>
      <c r="AD66" s="80">
        <v>1</v>
      </c>
      <c r="AE66" s="80">
        <v>4</v>
      </c>
      <c r="AF66" s="80">
        <v>5</v>
      </c>
      <c r="AG66" s="80" t="s">
        <v>285</v>
      </c>
      <c r="AH66" s="80" t="s">
        <v>285</v>
      </c>
      <c r="AI66" s="80">
        <v>25</v>
      </c>
      <c r="AJ66" s="80">
        <v>1000</v>
      </c>
      <c r="AK66" s="90"/>
      <c r="AL66" s="78">
        <v>5</v>
      </c>
    </row>
    <row r="67" spans="14:38" ht="12.75">
      <c r="N67" s="78">
        <v>12</v>
      </c>
      <c r="O67" s="1">
        <v>16</v>
      </c>
      <c r="P67" s="89">
        <v>17</v>
      </c>
      <c r="Q67" s="89">
        <v>20</v>
      </c>
      <c r="R67" s="1">
        <v>23</v>
      </c>
      <c r="Z67" s="92" t="s">
        <v>607</v>
      </c>
      <c r="AA67" s="80">
        <v>4</v>
      </c>
      <c r="AB67" s="1">
        <v>5</v>
      </c>
      <c r="AC67" s="93" t="s">
        <v>736</v>
      </c>
      <c r="AD67" s="80">
        <v>1</v>
      </c>
      <c r="AE67" s="80">
        <v>4</v>
      </c>
      <c r="AF67" s="80">
        <v>5</v>
      </c>
      <c r="AG67" s="80" t="s">
        <v>285</v>
      </c>
      <c r="AH67" s="80" t="s">
        <v>285</v>
      </c>
      <c r="AI67" s="80">
        <v>25</v>
      </c>
      <c r="AJ67" s="80">
        <v>1800</v>
      </c>
      <c r="AL67" s="78">
        <v>5</v>
      </c>
    </row>
    <row r="68" spans="4:38" ht="12.75">
      <c r="D68" s="78" t="s">
        <v>141</v>
      </c>
      <c r="E68" s="1" t="s">
        <v>114</v>
      </c>
      <c r="F68" s="1" t="s">
        <v>129</v>
      </c>
      <c r="G68" s="2" t="s">
        <v>142</v>
      </c>
      <c r="H68" s="1" t="s">
        <v>116</v>
      </c>
      <c r="I68" s="1" t="s">
        <v>152</v>
      </c>
      <c r="K68" s="1" t="s">
        <v>73</v>
      </c>
      <c r="L68" s="84" t="s">
        <v>93</v>
      </c>
      <c r="M68" s="1" t="s">
        <v>153</v>
      </c>
      <c r="N68" s="1" t="s">
        <v>166</v>
      </c>
      <c r="O68" s="1" t="s">
        <v>170</v>
      </c>
      <c r="P68" s="1" t="s">
        <v>171</v>
      </c>
      <c r="Q68" s="1" t="s">
        <v>54</v>
      </c>
      <c r="R68" s="1" t="s">
        <v>55</v>
      </c>
      <c r="S68" s="1" t="s">
        <v>215</v>
      </c>
      <c r="T68" s="1" t="s">
        <v>216</v>
      </c>
      <c r="U68" s="1" t="s">
        <v>75</v>
      </c>
      <c r="Z68" s="92" t="s">
        <v>380</v>
      </c>
      <c r="AA68" s="80">
        <v>1</v>
      </c>
      <c r="AB68" s="1">
        <v>1</v>
      </c>
      <c r="AC68" s="93" t="s">
        <v>737</v>
      </c>
      <c r="AD68" s="80">
        <v>2</v>
      </c>
      <c r="AE68" s="80">
        <v>3</v>
      </c>
      <c r="AF68" s="80">
        <v>4</v>
      </c>
      <c r="AG68" s="80" t="s">
        <v>285</v>
      </c>
      <c r="AH68" s="80" t="s">
        <v>285</v>
      </c>
      <c r="AI68" s="80" t="s">
        <v>285</v>
      </c>
      <c r="AJ68" s="80">
        <v>2000</v>
      </c>
      <c r="AL68" s="78">
        <v>5</v>
      </c>
    </row>
    <row r="69" spans="5:38" ht="12.75">
      <c r="E69" s="78">
        <v>1</v>
      </c>
      <c r="F69" s="78">
        <v>1</v>
      </c>
      <c r="H69" s="78">
        <v>1</v>
      </c>
      <c r="I69" s="78">
        <v>1</v>
      </c>
      <c r="K69" s="78" t="s">
        <v>32</v>
      </c>
      <c r="L69" s="1" t="b">
        <v>0</v>
      </c>
      <c r="M69" s="78">
        <f>IF(L69=TRUE,20,0)</f>
        <v>0</v>
      </c>
      <c r="N69" s="78">
        <v>-10</v>
      </c>
      <c r="O69" s="78">
        <v>10</v>
      </c>
      <c r="P69" s="78">
        <v>-10</v>
      </c>
      <c r="Q69" s="78">
        <v>0</v>
      </c>
      <c r="R69" s="78">
        <v>-20</v>
      </c>
      <c r="S69" s="78">
        <f>IF(OR(F84=N67,F84=O67,F84=P67,F84=Q67,F84=R67),HLOOKUP(F84,N67:R69,3,FALSE),0)</f>
        <v>0</v>
      </c>
      <c r="T69" s="78">
        <f>IF(OR(F85=N67,F85=O67,F85=P67,F85=Q67,F85=R67),HLOOKUP(F85,N67:R69,3,FALSE),0)</f>
        <v>0</v>
      </c>
      <c r="U69" s="78">
        <f>SUM(S69:T69)</f>
        <v>0</v>
      </c>
      <c r="Z69" s="92" t="s">
        <v>608</v>
      </c>
      <c r="AA69" s="80">
        <v>4</v>
      </c>
      <c r="AB69" s="1">
        <v>10</v>
      </c>
      <c r="AC69" s="93" t="s">
        <v>721</v>
      </c>
      <c r="AD69" s="80">
        <v>1</v>
      </c>
      <c r="AE69" s="80">
        <v>5</v>
      </c>
      <c r="AF69" s="80" t="s">
        <v>285</v>
      </c>
      <c r="AG69" s="80" t="s">
        <v>285</v>
      </c>
      <c r="AH69" s="80" t="s">
        <v>285</v>
      </c>
      <c r="AI69" s="80" t="s">
        <v>285</v>
      </c>
      <c r="AJ69" s="80">
        <v>3000</v>
      </c>
      <c r="AL69" s="78">
        <v>5</v>
      </c>
    </row>
    <row r="70" spans="5:38" ht="12.75">
      <c r="E70" s="78">
        <v>2</v>
      </c>
      <c r="F70" s="78">
        <v>1</v>
      </c>
      <c r="H70" s="78">
        <v>2</v>
      </c>
      <c r="I70" s="78">
        <v>1</v>
      </c>
      <c r="K70" s="78" t="s">
        <v>33</v>
      </c>
      <c r="L70" s="1" t="b">
        <v>0</v>
      </c>
      <c r="M70" s="78">
        <f aca="true" t="shared" si="15" ref="M70:M87">IF(L70=TRUE,20,0)</f>
        <v>0</v>
      </c>
      <c r="N70" s="78">
        <v>-10</v>
      </c>
      <c r="O70" s="78">
        <v>10</v>
      </c>
      <c r="P70" s="78">
        <v>-10</v>
      </c>
      <c r="Q70" s="78">
        <v>0</v>
      </c>
      <c r="R70" s="78">
        <v>0</v>
      </c>
      <c r="S70" s="78">
        <f>IF(OR(F84=N67,F84=O67,F84=P67,F84=Q67,F84=R67),HLOOKUP(F84,N67:R70,3,FALSE),0)</f>
        <v>0</v>
      </c>
      <c r="T70" s="78">
        <f>IF(OR(F85=N67,F85=O67,F85=P67,F85=Q67,F85=R67),HLOOKUP(F85,N67:R70,3,FALSE),0)</f>
        <v>0</v>
      </c>
      <c r="U70" s="78">
        <f aca="true" t="shared" si="16" ref="U70:U87">SUM(S70:T70)</f>
        <v>0</v>
      </c>
      <c r="Z70" s="92" t="s">
        <v>381</v>
      </c>
      <c r="AA70" s="80">
        <v>5</v>
      </c>
      <c r="AB70" s="1">
        <v>15</v>
      </c>
      <c r="AC70" s="93" t="s">
        <v>739</v>
      </c>
      <c r="AD70" s="80">
        <v>1</v>
      </c>
      <c r="AE70" s="80">
        <v>4</v>
      </c>
      <c r="AF70" s="80">
        <v>5</v>
      </c>
      <c r="AG70" s="80" t="s">
        <v>285</v>
      </c>
      <c r="AH70" s="80" t="s">
        <v>285</v>
      </c>
      <c r="AI70" s="80" t="s">
        <v>285</v>
      </c>
      <c r="AJ70" s="80">
        <v>3500</v>
      </c>
      <c r="AL70" s="78">
        <v>5</v>
      </c>
    </row>
    <row r="71" spans="5:38" ht="12.75">
      <c r="E71" s="78">
        <v>3</v>
      </c>
      <c r="F71" s="78">
        <v>1</v>
      </c>
      <c r="H71" s="78">
        <v>3</v>
      </c>
      <c r="I71" s="78">
        <v>1</v>
      </c>
      <c r="K71" s="78" t="s">
        <v>34</v>
      </c>
      <c r="L71" s="1" t="b">
        <v>0</v>
      </c>
      <c r="M71" s="78">
        <f t="shared" si="15"/>
        <v>0</v>
      </c>
      <c r="N71" s="78">
        <v>-10</v>
      </c>
      <c r="O71" s="78">
        <v>10</v>
      </c>
      <c r="P71" s="78">
        <v>-10</v>
      </c>
      <c r="Q71" s="78">
        <v>0</v>
      </c>
      <c r="R71" s="78">
        <v>0</v>
      </c>
      <c r="S71" s="78">
        <f>IF(OR(F84=N67,F84=O67,F84=P67,F84=Q67,F84=R67),HLOOKUP(F84,N67:R71,3,FALSE),0)</f>
        <v>0</v>
      </c>
      <c r="T71" s="78">
        <f>IF(OR(F85=N67,F85=O67,F85=P67,F85=Q67,F85=R67),HLOOKUP(F85,N67:R71,3,FALSE),0)</f>
        <v>0</v>
      </c>
      <c r="U71" s="78">
        <f t="shared" si="16"/>
        <v>0</v>
      </c>
      <c r="Z71" s="92" t="s">
        <v>382</v>
      </c>
      <c r="AA71" s="80">
        <v>5</v>
      </c>
      <c r="AB71" s="1">
        <v>12</v>
      </c>
      <c r="AC71" s="93" t="s">
        <v>740</v>
      </c>
      <c r="AD71" s="80">
        <v>2</v>
      </c>
      <c r="AE71" s="80">
        <v>4</v>
      </c>
      <c r="AF71" s="80">
        <v>5</v>
      </c>
      <c r="AG71" s="80" t="s">
        <v>285</v>
      </c>
      <c r="AH71" s="80" t="s">
        <v>285</v>
      </c>
      <c r="AI71" s="80" t="s">
        <v>285</v>
      </c>
      <c r="AJ71" s="80">
        <v>3750</v>
      </c>
      <c r="AL71" s="78">
        <v>5</v>
      </c>
    </row>
    <row r="72" spans="1:36" ht="12.75">
      <c r="A72" s="78" t="s">
        <v>1069</v>
      </c>
      <c r="E72" s="78">
        <v>4</v>
      </c>
      <c r="F72" s="78">
        <v>1</v>
      </c>
      <c r="H72" s="78">
        <v>4</v>
      </c>
      <c r="I72" s="78">
        <v>1</v>
      </c>
      <c r="K72" s="78" t="s">
        <v>35</v>
      </c>
      <c r="L72" s="1" t="b">
        <v>0</v>
      </c>
      <c r="M72" s="78">
        <f t="shared" si="15"/>
        <v>0</v>
      </c>
      <c r="N72" s="78">
        <v>-10</v>
      </c>
      <c r="O72" s="78">
        <v>10</v>
      </c>
      <c r="P72" s="78">
        <v>-10</v>
      </c>
      <c r="Q72" s="78">
        <v>0</v>
      </c>
      <c r="R72" s="78">
        <v>20</v>
      </c>
      <c r="S72" s="78">
        <f>IF(OR(F84=N67,F84=O67,F84=P67,F84=Q67,F84=R67),HLOOKUP(F84,N67:R72,3,FALSE),0)</f>
        <v>0</v>
      </c>
      <c r="T72" s="78">
        <f>IF(OR(F85=N67,F85=O67,F85=P67,F85=Q67,F85=R67),HLOOKUP(F85,N67:R72,3,FALSE),0)</f>
        <v>0</v>
      </c>
      <c r="U72" s="78">
        <f t="shared" si="16"/>
        <v>0</v>
      </c>
      <c r="Z72" s="94" t="s">
        <v>1045</v>
      </c>
      <c r="AA72" s="80"/>
      <c r="AB72" s="80"/>
      <c r="AC72" s="93"/>
      <c r="AD72" s="80"/>
      <c r="AE72" s="80"/>
      <c r="AF72" s="80"/>
      <c r="AG72" s="80"/>
      <c r="AH72" s="80"/>
      <c r="AI72" s="80"/>
      <c r="AJ72" s="80"/>
    </row>
    <row r="73" spans="5:38" ht="12.75">
      <c r="E73" s="78">
        <v>5</v>
      </c>
      <c r="F73" s="78">
        <v>1</v>
      </c>
      <c r="H73" s="78">
        <v>5</v>
      </c>
      <c r="I73" s="78">
        <v>1</v>
      </c>
      <c r="K73" s="78" t="s">
        <v>0</v>
      </c>
      <c r="L73" s="1" t="b">
        <v>0</v>
      </c>
      <c r="M73" s="78">
        <f t="shared" si="15"/>
        <v>0</v>
      </c>
      <c r="N73" s="78">
        <v>-10</v>
      </c>
      <c r="O73" s="78">
        <v>10</v>
      </c>
      <c r="P73" s="78">
        <v>-10</v>
      </c>
      <c r="Q73" s="78">
        <v>0</v>
      </c>
      <c r="R73" s="78">
        <v>0</v>
      </c>
      <c r="S73" s="78">
        <f>IF(OR(F84=N67,F84=O67,F84=P67,F84=Q67,F84=R67),HLOOKUP(F84,N67:R73,3,FALSE),0)</f>
        <v>0</v>
      </c>
      <c r="T73" s="78">
        <f>IF(OR(F85=N67,F85=O67,F85=P67,F85=Q67,F85=R67),HLOOKUP(F85,N67:R73,3,FALSE),0)</f>
        <v>0</v>
      </c>
      <c r="U73" s="78">
        <f t="shared" si="16"/>
        <v>0</v>
      </c>
      <c r="Z73" s="92" t="s">
        <v>609</v>
      </c>
      <c r="AA73" s="80">
        <v>5</v>
      </c>
      <c r="AB73" s="80">
        <v>2</v>
      </c>
      <c r="AC73" s="93" t="s">
        <v>741</v>
      </c>
      <c r="AD73" s="80">
        <v>10</v>
      </c>
      <c r="AE73" s="80">
        <v>5</v>
      </c>
      <c r="AF73" s="80">
        <v>6</v>
      </c>
      <c r="AG73" s="80" t="s">
        <v>285</v>
      </c>
      <c r="AH73" s="80" t="s">
        <v>285</v>
      </c>
      <c r="AI73" s="80">
        <v>1</v>
      </c>
      <c r="AJ73" s="80">
        <v>20</v>
      </c>
      <c r="AL73" s="78">
        <v>1</v>
      </c>
    </row>
    <row r="74" spans="5:38" ht="12.75">
      <c r="E74" s="78">
        <v>6</v>
      </c>
      <c r="F74" s="78">
        <v>1</v>
      </c>
      <c r="H74" s="78">
        <v>6</v>
      </c>
      <c r="I74" s="78">
        <v>2</v>
      </c>
      <c r="K74" s="78" t="s">
        <v>1</v>
      </c>
      <c r="L74" s="1" t="b">
        <v>0</v>
      </c>
      <c r="M74" s="78">
        <f t="shared" si="15"/>
        <v>0</v>
      </c>
      <c r="N74" s="78">
        <v>0</v>
      </c>
      <c r="O74" s="78">
        <v>10</v>
      </c>
      <c r="P74" s="78">
        <v>-10</v>
      </c>
      <c r="Q74" s="78">
        <v>0</v>
      </c>
      <c r="R74" s="78">
        <v>0</v>
      </c>
      <c r="S74" s="78">
        <f>IF(OR(F84=N67,F84=O67,F84=P67,F84=Q67,F84=R67),HLOOKUP(F84,N67:R74,3,FALSE),0)</f>
        <v>0</v>
      </c>
      <c r="T74" s="78">
        <f>IF(OR(F85=N67,F85=O67,F85=P67,F85=Q67,F85=R67),HLOOKUP(F85,N67:R74,3,FALSE),0)</f>
        <v>0</v>
      </c>
      <c r="U74" s="78">
        <f t="shared" si="16"/>
        <v>0</v>
      </c>
      <c r="Z74" s="92" t="s">
        <v>610</v>
      </c>
      <c r="AA74" s="80">
        <v>1</v>
      </c>
      <c r="AB74" s="80">
        <v>1</v>
      </c>
      <c r="AC74" s="93" t="s">
        <v>742</v>
      </c>
      <c r="AD74" s="80">
        <v>20</v>
      </c>
      <c r="AE74" s="80">
        <v>3</v>
      </c>
      <c r="AF74" s="80">
        <v>4</v>
      </c>
      <c r="AG74" s="80" t="s">
        <v>285</v>
      </c>
      <c r="AH74" s="80" t="s">
        <v>285</v>
      </c>
      <c r="AI74" s="80">
        <v>1</v>
      </c>
      <c r="AJ74" s="80">
        <v>30</v>
      </c>
      <c r="AL74" s="78">
        <v>1</v>
      </c>
    </row>
    <row r="75" spans="5:38" ht="12.75">
      <c r="E75" s="78">
        <v>7</v>
      </c>
      <c r="F75" s="78">
        <v>2</v>
      </c>
      <c r="H75" s="78">
        <v>7</v>
      </c>
      <c r="I75" s="78">
        <v>2</v>
      </c>
      <c r="K75" s="78" t="s">
        <v>36</v>
      </c>
      <c r="L75" s="1" t="b">
        <v>0</v>
      </c>
      <c r="M75" s="78">
        <f t="shared" si="15"/>
        <v>0</v>
      </c>
      <c r="N75" s="78">
        <v>20</v>
      </c>
      <c r="O75" s="78">
        <v>10</v>
      </c>
      <c r="P75" s="78">
        <v>-10</v>
      </c>
      <c r="Q75" s="78">
        <v>0</v>
      </c>
      <c r="R75" s="78">
        <v>-20</v>
      </c>
      <c r="S75" s="78">
        <f>IF(OR(F84=N67,F84=O67,F84=P67,F84=Q67,F84=R67),HLOOKUP(F84,N67:R75,3,FALSE),0)</f>
        <v>0</v>
      </c>
      <c r="T75" s="78">
        <f>IF(OR(F85=N67,F85=O67,F85=P67,F85=Q67,F85=R67),HLOOKUP(F85,N67:R75,3,FALSE),0)</f>
        <v>0</v>
      </c>
      <c r="U75" s="78">
        <f t="shared" si="16"/>
        <v>0</v>
      </c>
      <c r="Z75" s="92" t="s">
        <v>611</v>
      </c>
      <c r="AA75" s="80">
        <v>5</v>
      </c>
      <c r="AB75" s="80">
        <v>2</v>
      </c>
      <c r="AC75" s="93" t="s">
        <v>743</v>
      </c>
      <c r="AD75" s="80">
        <v>40</v>
      </c>
      <c r="AE75" s="80">
        <v>5</v>
      </c>
      <c r="AF75" s="80">
        <v>6</v>
      </c>
      <c r="AG75" s="80" t="s">
        <v>285</v>
      </c>
      <c r="AH75" s="80" t="s">
        <v>285</v>
      </c>
      <c r="AI75" s="80">
        <v>1</v>
      </c>
      <c r="AJ75" s="80">
        <v>50</v>
      </c>
      <c r="AL75" s="78">
        <v>1</v>
      </c>
    </row>
    <row r="76" spans="5:38" ht="12.75">
      <c r="E76" s="78">
        <v>8</v>
      </c>
      <c r="F76" s="78">
        <v>3</v>
      </c>
      <c r="H76" s="78">
        <v>8</v>
      </c>
      <c r="I76" s="78">
        <v>2</v>
      </c>
      <c r="K76" s="78" t="s">
        <v>37</v>
      </c>
      <c r="L76" s="1" t="b">
        <v>0</v>
      </c>
      <c r="M76" s="78">
        <f t="shared" si="15"/>
        <v>0</v>
      </c>
      <c r="N76" s="78">
        <v>20</v>
      </c>
      <c r="O76" s="78">
        <v>10</v>
      </c>
      <c r="P76" s="78">
        <v>-10</v>
      </c>
      <c r="Q76" s="78">
        <v>0</v>
      </c>
      <c r="R76" s="78">
        <v>-20</v>
      </c>
      <c r="S76" s="78">
        <f>IF(OR(F84=N67,F84=O67,F84=P67,F84=Q67,F84=R67),HLOOKUP(F84,N67:R76,3,FALSE),0)</f>
        <v>0</v>
      </c>
      <c r="T76" s="78">
        <f>IF(OR(F85=N67,F85=O67,F85=P67,F85=Q67,F85=R67),HLOOKUP(F85,N67:R76,3,FALSE),0)</f>
        <v>0</v>
      </c>
      <c r="U76" s="78">
        <f t="shared" si="16"/>
        <v>0</v>
      </c>
      <c r="Z76" s="92" t="s">
        <v>612</v>
      </c>
      <c r="AA76" s="80">
        <v>4</v>
      </c>
      <c r="AB76" s="80">
        <v>10</v>
      </c>
      <c r="AC76" s="93" t="s">
        <v>744</v>
      </c>
      <c r="AD76" s="80">
        <v>50</v>
      </c>
      <c r="AE76" s="80">
        <v>4</v>
      </c>
      <c r="AF76" s="80">
        <v>5</v>
      </c>
      <c r="AG76" s="80" t="s">
        <v>285</v>
      </c>
      <c r="AH76" s="80" t="s">
        <v>285</v>
      </c>
      <c r="AI76" s="80">
        <v>1</v>
      </c>
      <c r="AJ76" s="80">
        <v>300</v>
      </c>
      <c r="AL76" s="78">
        <v>1</v>
      </c>
    </row>
    <row r="77" spans="5:38" ht="12.75">
      <c r="E77" s="78">
        <v>9</v>
      </c>
      <c r="F77" s="78">
        <v>4</v>
      </c>
      <c r="H77" s="78">
        <v>9</v>
      </c>
      <c r="I77" s="78">
        <v>3</v>
      </c>
      <c r="K77" s="78" t="s">
        <v>2</v>
      </c>
      <c r="L77" s="1" t="b">
        <v>0</v>
      </c>
      <c r="M77" s="78">
        <f t="shared" si="15"/>
        <v>0</v>
      </c>
      <c r="N77" s="78">
        <v>0</v>
      </c>
      <c r="O77" s="78">
        <v>10</v>
      </c>
      <c r="P77" s="78">
        <v>-10</v>
      </c>
      <c r="Q77" s="78">
        <v>0</v>
      </c>
      <c r="R77" s="78">
        <v>0</v>
      </c>
      <c r="S77" s="78">
        <f>IF(OR(F84=N67,F84=O67,F84=P67,F84=Q67,F84=R67),HLOOKUP(F84,N67:R77,3,FALSE),0)</f>
        <v>0</v>
      </c>
      <c r="T77" s="78">
        <f>IF(OR(F85=N67,F85=O67,F85=P67,F85=Q67,F85=R67),HLOOKUP(F85,N67:R77,3,FALSE),0)</f>
        <v>0</v>
      </c>
      <c r="U77" s="78">
        <f t="shared" si="16"/>
        <v>0</v>
      </c>
      <c r="Z77" s="92" t="s">
        <v>613</v>
      </c>
      <c r="AA77" s="80">
        <v>5</v>
      </c>
      <c r="AB77" s="80">
        <v>8</v>
      </c>
      <c r="AC77" s="93" t="s">
        <v>745</v>
      </c>
      <c r="AD77" s="80">
        <v>60</v>
      </c>
      <c r="AE77" s="80">
        <v>5</v>
      </c>
      <c r="AF77" s="80">
        <v>6</v>
      </c>
      <c r="AG77" s="80" t="s">
        <v>285</v>
      </c>
      <c r="AH77" s="80" t="s">
        <v>285</v>
      </c>
      <c r="AI77" s="80">
        <v>1</v>
      </c>
      <c r="AJ77" s="80">
        <v>600</v>
      </c>
      <c r="AL77" s="78">
        <v>1</v>
      </c>
    </row>
    <row r="78" spans="5:38" ht="12.75">
      <c r="E78" s="78">
        <v>10</v>
      </c>
      <c r="F78" s="78">
        <v>5</v>
      </c>
      <c r="H78" s="78">
        <v>10</v>
      </c>
      <c r="I78" s="78">
        <v>3</v>
      </c>
      <c r="K78" s="78" t="s">
        <v>38</v>
      </c>
      <c r="L78" s="1" t="b">
        <v>0</v>
      </c>
      <c r="M78" s="78">
        <f t="shared" si="15"/>
        <v>0</v>
      </c>
      <c r="N78" s="78">
        <v>0</v>
      </c>
      <c r="O78" s="78">
        <v>10</v>
      </c>
      <c r="P78" s="78">
        <v>-10</v>
      </c>
      <c r="Q78" s="78">
        <v>15</v>
      </c>
      <c r="R78" s="78">
        <v>-20</v>
      </c>
      <c r="S78" s="78">
        <f>IF(OR(F84=N67,F84=O67,F84=P67,F84=Q67,F84=R67),HLOOKUP(F84,N67:R78,3,FALSE),0)</f>
        <v>0</v>
      </c>
      <c r="T78" s="78">
        <f>IF(OR(F85=N67,F85=O67,F85=P67,F85=Q67,F85=R67),HLOOKUP(F85,N67:R78,3,FALSE),0)</f>
        <v>0</v>
      </c>
      <c r="U78" s="78">
        <f t="shared" si="16"/>
        <v>0</v>
      </c>
      <c r="Z78" s="92" t="s">
        <v>614</v>
      </c>
      <c r="AA78" s="80">
        <v>4</v>
      </c>
      <c r="AB78" s="80">
        <v>12</v>
      </c>
      <c r="AC78" s="93" t="s">
        <v>746</v>
      </c>
      <c r="AD78" s="80">
        <v>70</v>
      </c>
      <c r="AE78" s="80">
        <v>4</v>
      </c>
      <c r="AF78" s="80">
        <v>5</v>
      </c>
      <c r="AG78" s="80" t="s">
        <v>285</v>
      </c>
      <c r="AH78" s="80" t="s">
        <v>285</v>
      </c>
      <c r="AI78" s="80">
        <v>1</v>
      </c>
      <c r="AJ78" s="80">
        <v>900</v>
      </c>
      <c r="AL78" s="78">
        <v>1</v>
      </c>
    </row>
    <row r="79" spans="5:38" ht="12.75">
      <c r="E79" s="78">
        <v>11</v>
      </c>
      <c r="F79" s="78">
        <v>5</v>
      </c>
      <c r="H79" s="78">
        <v>11</v>
      </c>
      <c r="I79" s="78">
        <v>3</v>
      </c>
      <c r="K79" s="78" t="s">
        <v>3</v>
      </c>
      <c r="L79" s="1" t="b">
        <v>0</v>
      </c>
      <c r="M79" s="78">
        <f t="shared" si="15"/>
        <v>0</v>
      </c>
      <c r="N79" s="78">
        <v>0</v>
      </c>
      <c r="O79" s="78">
        <v>10</v>
      </c>
      <c r="P79" s="78">
        <v>-10</v>
      </c>
      <c r="Q79" s="78">
        <v>0</v>
      </c>
      <c r="R79" s="78">
        <v>0</v>
      </c>
      <c r="S79" s="78">
        <f>IF(OR(F84=N67,F84=O67,F84=P67,F84=Q67,F84=R67),HLOOKUP(F84,N67:R79,3,FALSE),0)</f>
        <v>0</v>
      </c>
      <c r="T79" s="78">
        <f>IF(OR(F85=N67,F85=O67,F85=P67,F85=Q67,F85=R67),HLOOKUP(F85,N67:R79,3,FALSE),0)</f>
        <v>0</v>
      </c>
      <c r="U79" s="78">
        <f t="shared" si="16"/>
        <v>0</v>
      </c>
      <c r="Z79" s="94" t="s">
        <v>1049</v>
      </c>
      <c r="AA79" s="80"/>
      <c r="AB79" s="80"/>
      <c r="AC79" s="93"/>
      <c r="AD79" s="80"/>
      <c r="AE79" s="80"/>
      <c r="AF79" s="80"/>
      <c r="AG79" s="80"/>
      <c r="AH79" s="80"/>
      <c r="AI79" s="80"/>
      <c r="AJ79" s="80"/>
      <c r="AL79" s="78">
        <v>1</v>
      </c>
    </row>
    <row r="80" spans="5:38" ht="12.75">
      <c r="E80" s="78">
        <v>12</v>
      </c>
      <c r="F80" s="78">
        <v>5</v>
      </c>
      <c r="H80" s="78">
        <v>12</v>
      </c>
      <c r="I80" s="78">
        <v>3</v>
      </c>
      <c r="K80" s="78" t="s">
        <v>4</v>
      </c>
      <c r="L80" s="1" t="b">
        <v>0</v>
      </c>
      <c r="M80" s="78">
        <f t="shared" si="15"/>
        <v>0</v>
      </c>
      <c r="N80" s="78">
        <v>0</v>
      </c>
      <c r="O80" s="78">
        <v>10</v>
      </c>
      <c r="P80" s="78">
        <v>-10</v>
      </c>
      <c r="Q80" s="78">
        <v>0</v>
      </c>
      <c r="R80" s="78">
        <v>0</v>
      </c>
      <c r="S80" s="78">
        <f>IF(OR(F84=N67,F84=O67,F84=P67,F84=Q67,F84=R67),HLOOKUP(F84,N67:R80,3,FALSE),0)</f>
        <v>0</v>
      </c>
      <c r="T80" s="78">
        <f>IF(OR(F85=N67,F85=O67,F85=P67,F85=Q67,F85=R67),HLOOKUP(F85,N67:R80,3,FALSE),0)</f>
        <v>0</v>
      </c>
      <c r="U80" s="78">
        <f t="shared" si="16"/>
        <v>0</v>
      </c>
      <c r="Z80" s="92" t="s">
        <v>384</v>
      </c>
      <c r="AA80" s="80">
        <v>3</v>
      </c>
      <c r="AB80" s="80">
        <v>4</v>
      </c>
      <c r="AC80" s="93" t="s">
        <v>746</v>
      </c>
      <c r="AD80" s="80">
        <v>19</v>
      </c>
      <c r="AE80" s="80">
        <v>5</v>
      </c>
      <c r="AF80" s="80">
        <v>6</v>
      </c>
      <c r="AG80" s="80" t="s">
        <v>285</v>
      </c>
      <c r="AH80" s="80" t="s">
        <v>285</v>
      </c>
      <c r="AI80" s="80">
        <v>12</v>
      </c>
      <c r="AJ80" s="80">
        <v>250</v>
      </c>
      <c r="AL80" s="78">
        <v>1</v>
      </c>
    </row>
    <row r="81" spans="5:38" ht="12.75">
      <c r="E81" s="78">
        <v>13</v>
      </c>
      <c r="F81" s="78">
        <v>5</v>
      </c>
      <c r="H81" s="78">
        <v>13</v>
      </c>
      <c r="I81" s="78">
        <v>3</v>
      </c>
      <c r="K81" s="78" t="s">
        <v>39</v>
      </c>
      <c r="L81" s="1" t="b">
        <v>0</v>
      </c>
      <c r="M81" s="78">
        <f t="shared" si="15"/>
        <v>0</v>
      </c>
      <c r="N81" s="78">
        <v>0</v>
      </c>
      <c r="O81" s="78">
        <v>10</v>
      </c>
      <c r="P81" s="78">
        <v>-10</v>
      </c>
      <c r="Q81" s="78">
        <v>15</v>
      </c>
      <c r="R81" s="78">
        <v>-20</v>
      </c>
      <c r="S81" s="78">
        <f>IF(OR(F84=N67,F84=O67,F84=P67,F84=Q67,F84=R67),HLOOKUP(F84,N67:R81,3,FALSE),0)</f>
        <v>0</v>
      </c>
      <c r="T81" s="78">
        <f>IF(OR(F85=N67,F85=O67,F85=P67,F85=Q67,F85=R67),HLOOKUP(F85,N67:R81,3,FALSE),0)</f>
        <v>0</v>
      </c>
      <c r="U81" s="78">
        <f t="shared" si="16"/>
        <v>0</v>
      </c>
      <c r="Z81" s="92" t="s">
        <v>615</v>
      </c>
      <c r="AA81" s="80">
        <v>3</v>
      </c>
      <c r="AB81" s="80">
        <v>5</v>
      </c>
      <c r="AC81" s="93" t="s">
        <v>744</v>
      </c>
      <c r="AD81" s="80">
        <v>15</v>
      </c>
      <c r="AE81" s="80">
        <v>5</v>
      </c>
      <c r="AF81" s="80">
        <v>6</v>
      </c>
      <c r="AG81" s="80" t="s">
        <v>285</v>
      </c>
      <c r="AH81" s="80" t="s">
        <v>285</v>
      </c>
      <c r="AI81" s="80">
        <v>1</v>
      </c>
      <c r="AJ81" s="80">
        <v>275</v>
      </c>
      <c r="AL81" s="78">
        <v>1</v>
      </c>
    </row>
    <row r="82" spans="5:38" ht="12.75">
      <c r="E82" s="78">
        <v>14</v>
      </c>
      <c r="F82" s="78">
        <v>5</v>
      </c>
      <c r="K82" s="78" t="s">
        <v>5</v>
      </c>
      <c r="L82" s="1" t="b">
        <v>0</v>
      </c>
      <c r="M82" s="78">
        <f t="shared" si="15"/>
        <v>0</v>
      </c>
      <c r="N82" s="78">
        <v>0</v>
      </c>
      <c r="O82" s="78">
        <v>10</v>
      </c>
      <c r="P82" s="78">
        <v>-10</v>
      </c>
      <c r="Q82" s="78">
        <v>15</v>
      </c>
      <c r="R82" s="78">
        <v>-20</v>
      </c>
      <c r="S82" s="78">
        <f>IF(OR(F84=N67,F84=O67,F84=P67,F84=Q67,F84=R67),HLOOKUP(F84,N67:R82,3,FALSE),0)</f>
        <v>0</v>
      </c>
      <c r="T82" s="78">
        <f>IF(OR(F85=N67,F85=O67,F85=P67,F85=Q67,F85=R67),HLOOKUP(F85,N67:R82,3,FALSE),0)</f>
        <v>0</v>
      </c>
      <c r="U82" s="78">
        <f t="shared" si="16"/>
        <v>0</v>
      </c>
      <c r="Z82" s="92" t="s">
        <v>383</v>
      </c>
      <c r="AA82" s="80">
        <v>3</v>
      </c>
      <c r="AB82" s="80">
        <v>4</v>
      </c>
      <c r="AC82" s="93" t="s">
        <v>744</v>
      </c>
      <c r="AD82" s="80">
        <v>12</v>
      </c>
      <c r="AE82" s="80">
        <v>5</v>
      </c>
      <c r="AF82" s="80">
        <v>6</v>
      </c>
      <c r="AG82" s="80" t="s">
        <v>285</v>
      </c>
      <c r="AH82" s="80" t="s">
        <v>285</v>
      </c>
      <c r="AI82" s="80">
        <v>10</v>
      </c>
      <c r="AJ82" s="80">
        <v>300</v>
      </c>
      <c r="AL82" s="78">
        <v>1</v>
      </c>
    </row>
    <row r="83" spans="11:38" ht="12.75">
      <c r="K83" s="78" t="s">
        <v>9</v>
      </c>
      <c r="L83" s="1" t="b">
        <v>0</v>
      </c>
      <c r="M83" s="78">
        <f t="shared" si="15"/>
        <v>0</v>
      </c>
      <c r="N83" s="78">
        <v>0</v>
      </c>
      <c r="O83" s="78">
        <v>10</v>
      </c>
      <c r="P83" s="78">
        <v>-10</v>
      </c>
      <c r="Q83" s="78">
        <v>0</v>
      </c>
      <c r="R83" s="78">
        <v>0</v>
      </c>
      <c r="S83" s="78">
        <f>IF(OR(F84=N67,F84=O67,F84=P67,F84=Q67,F84=R67),HLOOKUP(F84,N67:R83,3,FALSE),0)</f>
        <v>0</v>
      </c>
      <c r="T83" s="78">
        <f>IF(OR(F85=N67,F85=O67,F85=P67,F85=Q67,F85=R67),HLOOKUP(F85,N67:R83,3,FALSE),0)</f>
        <v>0</v>
      </c>
      <c r="U83" s="78">
        <f t="shared" si="16"/>
        <v>0</v>
      </c>
      <c r="Z83" s="92" t="s">
        <v>747</v>
      </c>
      <c r="AA83" s="80">
        <v>3</v>
      </c>
      <c r="AB83" s="80">
        <v>4</v>
      </c>
      <c r="AC83" s="93" t="s">
        <v>748</v>
      </c>
      <c r="AD83" s="80">
        <v>10</v>
      </c>
      <c r="AE83" s="80">
        <v>4</v>
      </c>
      <c r="AF83" s="80">
        <v>5</v>
      </c>
      <c r="AG83" s="80" t="s">
        <v>285</v>
      </c>
      <c r="AH83" s="80" t="s">
        <v>285</v>
      </c>
      <c r="AI83" s="80">
        <v>6</v>
      </c>
      <c r="AJ83" s="80">
        <v>375</v>
      </c>
      <c r="AL83" s="78">
        <v>1</v>
      </c>
    </row>
    <row r="84" spans="5:38" ht="12.75">
      <c r="E84" s="78" t="s">
        <v>149</v>
      </c>
      <c r="F84" s="78">
        <v>1</v>
      </c>
      <c r="H84" s="78">
        <v>5</v>
      </c>
      <c r="K84" s="78" t="s">
        <v>6</v>
      </c>
      <c r="L84" s="1" t="b">
        <v>0</v>
      </c>
      <c r="M84" s="78">
        <f t="shared" si="15"/>
        <v>0</v>
      </c>
      <c r="N84" s="78">
        <v>20</v>
      </c>
      <c r="O84" s="78">
        <v>10</v>
      </c>
      <c r="P84" s="78">
        <v>-10</v>
      </c>
      <c r="Q84" s="78">
        <v>0</v>
      </c>
      <c r="R84" s="78">
        <v>0</v>
      </c>
      <c r="S84" s="78">
        <f>IF(OR(F84=N67,F84=O67,F84=P67,F84=Q67,F84=R67),HLOOKUP(F84,N67:R84,3,FALSE),0)</f>
        <v>0</v>
      </c>
      <c r="T84" s="78">
        <f>IF(OR(F85=N67,F85=O67,F85=P67,F85=Q67,F85=R67),HLOOKUP(F85,N67:R84,3,FALSE),0)</f>
        <v>0</v>
      </c>
      <c r="U84" s="78">
        <f t="shared" si="16"/>
        <v>0</v>
      </c>
      <c r="Z84" s="92" t="s">
        <v>616</v>
      </c>
      <c r="AA84" s="80">
        <v>3</v>
      </c>
      <c r="AB84" s="80">
        <v>4</v>
      </c>
      <c r="AC84" s="93" t="s">
        <v>746</v>
      </c>
      <c r="AD84" s="80">
        <v>17</v>
      </c>
      <c r="AE84" s="80">
        <v>5</v>
      </c>
      <c r="AF84" s="80">
        <v>6</v>
      </c>
      <c r="AG84" s="80" t="s">
        <v>285</v>
      </c>
      <c r="AH84" s="80" t="s">
        <v>285</v>
      </c>
      <c r="AI84" s="80">
        <v>18</v>
      </c>
      <c r="AJ84" s="80">
        <v>400</v>
      </c>
      <c r="AL84" s="78">
        <v>1</v>
      </c>
    </row>
    <row r="85" spans="5:38" ht="12.75">
      <c r="E85" s="78" t="s">
        <v>150</v>
      </c>
      <c r="F85" s="78">
        <v>1</v>
      </c>
      <c r="H85" s="78">
        <f>SUM(Игрок1!K82,Игрок1!K84,Игрок1!K86,Игрок1!K88,Игрок1!K90,Игрок1!K92,Игрок1!K94)</f>
        <v>0</v>
      </c>
      <c r="K85" s="78" t="s">
        <v>7</v>
      </c>
      <c r="L85" s="1" t="b">
        <v>0</v>
      </c>
      <c r="M85" s="78">
        <f t="shared" si="15"/>
        <v>0</v>
      </c>
      <c r="N85" s="78">
        <v>20</v>
      </c>
      <c r="O85" s="78">
        <v>10</v>
      </c>
      <c r="P85" s="78">
        <v>-10</v>
      </c>
      <c r="Q85" s="78">
        <v>0</v>
      </c>
      <c r="R85" s="78">
        <v>0</v>
      </c>
      <c r="S85" s="78">
        <f>IF(OR(F84=N67,F84=O67,F84=P67,F84=Q67,F84=R67),HLOOKUP(F84,N67:R85,3,FALSE),0)</f>
        <v>0</v>
      </c>
      <c r="T85" s="78">
        <f>IF(OR(F85=N67,F85=O67,F85=P67,F85=Q67,F85=R67),HLOOKUP(F85,N67:R85,3,FALSE),0)</f>
        <v>0</v>
      </c>
      <c r="U85" s="78">
        <f t="shared" si="16"/>
        <v>0</v>
      </c>
      <c r="Z85" s="92" t="s">
        <v>385</v>
      </c>
      <c r="AA85" s="80">
        <v>3</v>
      </c>
      <c r="AB85" s="80">
        <v>4</v>
      </c>
      <c r="AC85" s="93" t="s">
        <v>748</v>
      </c>
      <c r="AD85" s="80">
        <v>17</v>
      </c>
      <c r="AE85" s="80">
        <v>5</v>
      </c>
      <c r="AF85" s="80">
        <v>6</v>
      </c>
      <c r="AG85" s="80" t="s">
        <v>285</v>
      </c>
      <c r="AH85" s="80" t="s">
        <v>285</v>
      </c>
      <c r="AI85" s="80">
        <v>7</v>
      </c>
      <c r="AJ85" s="80">
        <v>425</v>
      </c>
      <c r="AL85" s="78">
        <v>1</v>
      </c>
    </row>
    <row r="86" spans="11:38" ht="12.75">
      <c r="K86" s="78" t="s">
        <v>40</v>
      </c>
      <c r="L86" s="1" t="b">
        <v>0</v>
      </c>
      <c r="M86" s="78">
        <f t="shared" si="15"/>
        <v>0</v>
      </c>
      <c r="N86" s="78">
        <v>0</v>
      </c>
      <c r="O86" s="78">
        <v>10</v>
      </c>
      <c r="P86" s="78">
        <v>-10</v>
      </c>
      <c r="Q86" s="78">
        <v>0</v>
      </c>
      <c r="R86" s="78">
        <v>0</v>
      </c>
      <c r="S86" s="78">
        <f>IF(OR(F84=N67,F84=O67,F84=P67,F84=Q67,F84=R67),HLOOKUP(F84,N67:R86,3,FALSE),0)</f>
        <v>0</v>
      </c>
      <c r="T86" s="78">
        <f>IF(OR(F85=N67,F85=O67,F85=P67,F85=Q67,F85=R67),HLOOKUP(F85,N67:R86,3,FALSE),0)</f>
        <v>0</v>
      </c>
      <c r="U86" s="78">
        <f t="shared" si="16"/>
        <v>0</v>
      </c>
      <c r="Z86" s="92" t="s">
        <v>386</v>
      </c>
      <c r="AA86" s="80">
        <v>5</v>
      </c>
      <c r="AB86" s="80">
        <v>6</v>
      </c>
      <c r="AC86" s="93" t="s">
        <v>749</v>
      </c>
      <c r="AD86" s="80">
        <v>19</v>
      </c>
      <c r="AE86" s="80">
        <v>4</v>
      </c>
      <c r="AF86" s="80">
        <v>5</v>
      </c>
      <c r="AG86" s="80" t="s">
        <v>285</v>
      </c>
      <c r="AH86" s="80" t="s">
        <v>285</v>
      </c>
      <c r="AI86" s="80">
        <v>6</v>
      </c>
      <c r="AJ86" s="80">
        <v>450</v>
      </c>
      <c r="AL86" s="78">
        <v>1</v>
      </c>
    </row>
    <row r="87" spans="11:38" ht="12.75">
      <c r="K87" s="78" t="s">
        <v>41</v>
      </c>
      <c r="L87" s="1" t="b">
        <v>0</v>
      </c>
      <c r="M87" s="78">
        <f t="shared" si="15"/>
        <v>0</v>
      </c>
      <c r="N87" s="78">
        <v>0</v>
      </c>
      <c r="O87" s="78">
        <v>10</v>
      </c>
      <c r="P87" s="78">
        <v>-10</v>
      </c>
      <c r="Q87" s="78">
        <v>0</v>
      </c>
      <c r="R87" s="78">
        <v>0</v>
      </c>
      <c r="S87" s="78">
        <f>IF(OR(F84=N67,F84=O67,F84=P67,F84=Q67,F84=R67),HLOOKUP(F84,N67:R87,3,FALSE),0)</f>
        <v>0</v>
      </c>
      <c r="T87" s="78">
        <f>IF(OR(F85=N67,F85=O67,F85=P67,F85=Q67,F85=R67),HLOOKUP(F85,N67:R87,3,FALSE),0)</f>
        <v>0</v>
      </c>
      <c r="U87" s="78">
        <f t="shared" si="16"/>
        <v>0</v>
      </c>
      <c r="Z87" s="92" t="s">
        <v>387</v>
      </c>
      <c r="AA87" s="80">
        <v>5</v>
      </c>
      <c r="AB87" s="80">
        <v>6</v>
      </c>
      <c r="AC87" s="93" t="s">
        <v>750</v>
      </c>
      <c r="AD87" s="80">
        <v>6</v>
      </c>
      <c r="AE87" s="80">
        <v>4</v>
      </c>
      <c r="AF87" s="80">
        <v>5</v>
      </c>
      <c r="AG87" s="80" t="s">
        <v>285</v>
      </c>
      <c r="AH87" s="80" t="s">
        <v>285</v>
      </c>
      <c r="AI87" s="80">
        <v>6</v>
      </c>
      <c r="AJ87" s="80">
        <v>600</v>
      </c>
      <c r="AL87" s="78">
        <v>1</v>
      </c>
    </row>
    <row r="88" spans="26:38" ht="12.75">
      <c r="Z88" s="92" t="s">
        <v>617</v>
      </c>
      <c r="AA88" s="80">
        <v>3</v>
      </c>
      <c r="AB88" s="80">
        <v>6</v>
      </c>
      <c r="AC88" s="93" t="s">
        <v>746</v>
      </c>
      <c r="AD88" s="80">
        <v>22</v>
      </c>
      <c r="AE88" s="80">
        <v>5</v>
      </c>
      <c r="AF88" s="80">
        <v>6</v>
      </c>
      <c r="AG88" s="80" t="s">
        <v>285</v>
      </c>
      <c r="AH88" s="80" t="s">
        <v>285</v>
      </c>
      <c r="AI88" s="80">
        <v>12</v>
      </c>
      <c r="AJ88" s="80">
        <v>700</v>
      </c>
      <c r="AL88" s="78">
        <v>1</v>
      </c>
    </row>
    <row r="89" spans="26:38" ht="12.75">
      <c r="Z89" s="92" t="s">
        <v>388</v>
      </c>
      <c r="AA89" s="80">
        <v>4</v>
      </c>
      <c r="AB89" s="80">
        <v>5</v>
      </c>
      <c r="AC89" s="93" t="s">
        <v>751</v>
      </c>
      <c r="AD89" s="80">
        <v>19</v>
      </c>
      <c r="AE89" s="80">
        <v>5</v>
      </c>
      <c r="AF89" s="80">
        <v>6</v>
      </c>
      <c r="AG89" s="80" t="s">
        <v>285</v>
      </c>
      <c r="AH89" s="80" t="s">
        <v>285</v>
      </c>
      <c r="AI89" s="80">
        <v>8</v>
      </c>
      <c r="AJ89" s="80">
        <v>800</v>
      </c>
      <c r="AL89" s="78">
        <v>1</v>
      </c>
    </row>
    <row r="90" spans="26:38" ht="12.75">
      <c r="Z90" s="92" t="s">
        <v>389</v>
      </c>
      <c r="AA90" s="80">
        <v>4</v>
      </c>
      <c r="AB90" s="80">
        <v>6</v>
      </c>
      <c r="AC90" s="93" t="s">
        <v>746</v>
      </c>
      <c r="AD90" s="80">
        <v>22</v>
      </c>
      <c r="AE90" s="80">
        <v>5</v>
      </c>
      <c r="AF90" s="80">
        <v>6</v>
      </c>
      <c r="AG90" s="80" t="s">
        <v>285</v>
      </c>
      <c r="AH90" s="80" t="s">
        <v>285</v>
      </c>
      <c r="AI90" s="80">
        <v>50</v>
      </c>
      <c r="AJ90" s="80">
        <v>900</v>
      </c>
      <c r="AL90" s="78">
        <v>1</v>
      </c>
    </row>
    <row r="91" spans="26:38" ht="12.75">
      <c r="Z91" s="92" t="s">
        <v>390</v>
      </c>
      <c r="AA91" s="80">
        <v>3</v>
      </c>
      <c r="AB91" s="80">
        <v>4</v>
      </c>
      <c r="AC91" s="93" t="s">
        <v>746</v>
      </c>
      <c r="AD91" s="80">
        <v>24</v>
      </c>
      <c r="AE91" s="80">
        <v>5</v>
      </c>
      <c r="AF91" s="80">
        <v>6</v>
      </c>
      <c r="AG91" s="80" t="s">
        <v>285</v>
      </c>
      <c r="AH91" s="80" t="s">
        <v>285</v>
      </c>
      <c r="AI91" s="80">
        <v>9</v>
      </c>
      <c r="AJ91" s="80">
        <v>1000</v>
      </c>
      <c r="AL91" s="78">
        <v>1</v>
      </c>
    </row>
    <row r="92" spans="26:38" ht="12.75">
      <c r="Z92" s="92" t="s">
        <v>752</v>
      </c>
      <c r="AA92" s="80">
        <v>4</v>
      </c>
      <c r="AB92" s="80">
        <v>8</v>
      </c>
      <c r="AC92" s="93" t="s">
        <v>753</v>
      </c>
      <c r="AD92" s="80">
        <v>15</v>
      </c>
      <c r="AE92" s="80">
        <v>4</v>
      </c>
      <c r="AF92" s="80">
        <v>5</v>
      </c>
      <c r="AG92" s="80" t="s">
        <v>285</v>
      </c>
      <c r="AH92" s="80" t="s">
        <v>285</v>
      </c>
      <c r="AI92" s="80">
        <v>6</v>
      </c>
      <c r="AJ92" s="80">
        <v>1050</v>
      </c>
      <c r="AL92" s="78">
        <v>1</v>
      </c>
    </row>
    <row r="93" spans="26:38" ht="12.75">
      <c r="Z93" s="92" t="s">
        <v>391</v>
      </c>
      <c r="AA93" s="80">
        <v>4</v>
      </c>
      <c r="AB93" s="80">
        <v>5</v>
      </c>
      <c r="AC93" s="93" t="s">
        <v>754</v>
      </c>
      <c r="AD93" s="80">
        <v>18</v>
      </c>
      <c r="AE93" s="80">
        <v>5</v>
      </c>
      <c r="AF93" s="80">
        <v>6</v>
      </c>
      <c r="AG93" s="80" t="s">
        <v>285</v>
      </c>
      <c r="AH93" s="80" t="s">
        <v>285</v>
      </c>
      <c r="AI93" s="80">
        <v>6</v>
      </c>
      <c r="AJ93" s="80">
        <v>1100</v>
      </c>
      <c r="AL93" s="78">
        <v>1</v>
      </c>
    </row>
    <row r="94" spans="26:38" ht="12.75">
      <c r="Z94" s="92" t="s">
        <v>392</v>
      </c>
      <c r="AA94" s="80">
        <v>3</v>
      </c>
      <c r="AB94" s="80">
        <v>5</v>
      </c>
      <c r="AC94" s="93" t="s">
        <v>744</v>
      </c>
      <c r="AD94" s="80">
        <v>17</v>
      </c>
      <c r="AE94" s="80">
        <v>5</v>
      </c>
      <c r="AF94" s="80">
        <v>6</v>
      </c>
      <c r="AG94" s="80" t="s">
        <v>285</v>
      </c>
      <c r="AH94" s="80" t="s">
        <v>285</v>
      </c>
      <c r="AI94" s="80">
        <v>8</v>
      </c>
      <c r="AJ94" s="80">
        <v>1500</v>
      </c>
      <c r="AL94" s="78">
        <v>1</v>
      </c>
    </row>
    <row r="95" spans="14:38" ht="12.75">
      <c r="N95" s="78">
        <v>12</v>
      </c>
      <c r="O95" s="1">
        <v>16</v>
      </c>
      <c r="P95" s="89">
        <v>17</v>
      </c>
      <c r="Q95" s="89">
        <v>20</v>
      </c>
      <c r="R95" s="1">
        <v>23</v>
      </c>
      <c r="Z95" s="92" t="s">
        <v>618</v>
      </c>
      <c r="AA95" s="80">
        <v>3</v>
      </c>
      <c r="AB95" s="80">
        <v>5</v>
      </c>
      <c r="AC95" s="93" t="s">
        <v>742</v>
      </c>
      <c r="AD95" s="80">
        <v>24</v>
      </c>
      <c r="AE95" s="80">
        <v>4</v>
      </c>
      <c r="AF95" s="80">
        <v>5</v>
      </c>
      <c r="AG95" s="80" t="s">
        <v>285</v>
      </c>
      <c r="AH95" s="80" t="s">
        <v>285</v>
      </c>
      <c r="AI95" s="80">
        <v>8</v>
      </c>
      <c r="AJ95" s="80">
        <v>2200</v>
      </c>
      <c r="AL95" s="78">
        <v>1</v>
      </c>
    </row>
    <row r="96" spans="4:38" ht="12.75">
      <c r="D96" s="78" t="s">
        <v>141</v>
      </c>
      <c r="E96" s="1" t="s">
        <v>114</v>
      </c>
      <c r="F96" s="1" t="s">
        <v>129</v>
      </c>
      <c r="G96" s="2" t="s">
        <v>142</v>
      </c>
      <c r="H96" s="1" t="s">
        <v>116</v>
      </c>
      <c r="I96" s="1" t="s">
        <v>152</v>
      </c>
      <c r="K96" s="1" t="s">
        <v>73</v>
      </c>
      <c r="L96" s="84" t="s">
        <v>93</v>
      </c>
      <c r="M96" s="1" t="s">
        <v>153</v>
      </c>
      <c r="N96" s="1" t="s">
        <v>166</v>
      </c>
      <c r="O96" s="1" t="s">
        <v>170</v>
      </c>
      <c r="P96" s="1" t="s">
        <v>171</v>
      </c>
      <c r="Q96" s="1" t="s">
        <v>54</v>
      </c>
      <c r="R96" s="1" t="s">
        <v>55</v>
      </c>
      <c r="S96" s="1" t="s">
        <v>215</v>
      </c>
      <c r="T96" s="1" t="s">
        <v>216</v>
      </c>
      <c r="U96" s="1" t="s">
        <v>75</v>
      </c>
      <c r="Z96" s="92" t="s">
        <v>619</v>
      </c>
      <c r="AA96" s="80">
        <v>2</v>
      </c>
      <c r="AB96" s="80">
        <v>4</v>
      </c>
      <c r="AC96" s="93" t="s">
        <v>749</v>
      </c>
      <c r="AD96" s="80">
        <v>20</v>
      </c>
      <c r="AE96" s="80">
        <v>3</v>
      </c>
      <c r="AF96" s="80">
        <v>4</v>
      </c>
      <c r="AG96" s="80" t="s">
        <v>285</v>
      </c>
      <c r="AH96" s="80" t="s">
        <v>285</v>
      </c>
      <c r="AI96" s="80">
        <v>8</v>
      </c>
      <c r="AJ96" s="80">
        <v>3000</v>
      </c>
      <c r="AL96" s="78">
        <v>1</v>
      </c>
    </row>
    <row r="97" spans="5:38" ht="12.75">
      <c r="E97" s="78">
        <v>1</v>
      </c>
      <c r="F97" s="78">
        <v>1</v>
      </c>
      <c r="H97" s="78">
        <v>1</v>
      </c>
      <c r="I97" s="78">
        <v>1</v>
      </c>
      <c r="K97" s="78" t="s">
        <v>32</v>
      </c>
      <c r="L97" s="1" t="b">
        <v>0</v>
      </c>
      <c r="M97" s="78">
        <f>IF(L97=TRUE,20,0)</f>
        <v>0</v>
      </c>
      <c r="N97" s="78">
        <v>-10</v>
      </c>
      <c r="O97" s="78">
        <v>10</v>
      </c>
      <c r="P97" s="78">
        <v>-10</v>
      </c>
      <c r="Q97" s="78">
        <v>0</v>
      </c>
      <c r="R97" s="78">
        <v>-20</v>
      </c>
      <c r="S97" s="78">
        <f>IF(OR(F112=N95,F112=O95,F112=P95,F112=Q95,F112=R95),HLOOKUP(F112,N95:R97,3,FALSE),0)</f>
        <v>0</v>
      </c>
      <c r="T97" s="78">
        <f>IF(OR(F113=N95,F113=O95,F113=P95,F113=Q95,F113=R95),HLOOKUP(F113,N95:R97,3,FALSE),0)</f>
        <v>0</v>
      </c>
      <c r="U97" s="78">
        <f>SUM(S97:T97)</f>
        <v>0</v>
      </c>
      <c r="Z97" s="92" t="s">
        <v>620</v>
      </c>
      <c r="AA97" s="80">
        <v>4</v>
      </c>
      <c r="AB97" s="80">
        <v>8</v>
      </c>
      <c r="AC97" s="93" t="s">
        <v>755</v>
      </c>
      <c r="AD97" s="80">
        <v>7</v>
      </c>
      <c r="AE97" s="80">
        <v>4</v>
      </c>
      <c r="AF97" s="80" t="s">
        <v>285</v>
      </c>
      <c r="AG97" s="80" t="s">
        <v>285</v>
      </c>
      <c r="AH97" s="80" t="s">
        <v>285</v>
      </c>
      <c r="AI97" s="80">
        <v>3</v>
      </c>
      <c r="AJ97" s="80">
        <v>3000</v>
      </c>
      <c r="AL97" s="78">
        <v>1</v>
      </c>
    </row>
    <row r="98" spans="5:38" ht="12.75">
      <c r="E98" s="78">
        <v>2</v>
      </c>
      <c r="F98" s="78">
        <v>1</v>
      </c>
      <c r="H98" s="78">
        <v>2</v>
      </c>
      <c r="I98" s="78">
        <v>1</v>
      </c>
      <c r="K98" s="78" t="s">
        <v>33</v>
      </c>
      <c r="L98" s="1" t="b">
        <v>0</v>
      </c>
      <c r="M98" s="78">
        <f aca="true" t="shared" si="17" ref="M98:M115">IF(L98=TRUE,20,0)</f>
        <v>0</v>
      </c>
      <c r="N98" s="78">
        <v>-10</v>
      </c>
      <c r="O98" s="78">
        <v>10</v>
      </c>
      <c r="P98" s="78">
        <v>-10</v>
      </c>
      <c r="Q98" s="78">
        <v>0</v>
      </c>
      <c r="R98" s="78">
        <v>0</v>
      </c>
      <c r="S98" s="78">
        <f>IF(OR(F112=N95,F112=O95,F112=P95,F112=Q95,F112=R95),HLOOKUP(F112,N95:R98,3,FALSE),0)</f>
        <v>0</v>
      </c>
      <c r="T98" s="78">
        <f>IF(OR(F113=N95,F113=O95,F113=P95,F113=Q95,F113=R95),HLOOKUP(F113,N95:R98,3,FALSE),0)</f>
        <v>0</v>
      </c>
      <c r="U98" s="78">
        <f aca="true" t="shared" si="18" ref="U98:U115">SUM(S98:T98)</f>
        <v>0</v>
      </c>
      <c r="Z98" s="92" t="s">
        <v>393</v>
      </c>
      <c r="AA98" s="80">
        <v>4</v>
      </c>
      <c r="AB98" s="80">
        <v>6</v>
      </c>
      <c r="AC98" s="93" t="s">
        <v>756</v>
      </c>
      <c r="AD98" s="80">
        <v>20</v>
      </c>
      <c r="AE98" s="80">
        <v>5</v>
      </c>
      <c r="AF98" s="80">
        <v>6</v>
      </c>
      <c r="AG98" s="80">
        <v>6</v>
      </c>
      <c r="AH98" s="80">
        <v>3</v>
      </c>
      <c r="AI98" s="80">
        <v>32</v>
      </c>
      <c r="AJ98" s="80">
        <v>3400</v>
      </c>
      <c r="AL98" s="78">
        <v>1</v>
      </c>
    </row>
    <row r="99" spans="5:38" ht="12.75">
      <c r="E99" s="78">
        <v>3</v>
      </c>
      <c r="F99" s="78">
        <v>1</v>
      </c>
      <c r="H99" s="78">
        <v>3</v>
      </c>
      <c r="I99" s="78">
        <v>1</v>
      </c>
      <c r="K99" s="78" t="s">
        <v>34</v>
      </c>
      <c r="L99" s="1" t="b">
        <v>0</v>
      </c>
      <c r="M99" s="78">
        <f t="shared" si="17"/>
        <v>0</v>
      </c>
      <c r="N99" s="78">
        <v>-10</v>
      </c>
      <c r="O99" s="78">
        <v>10</v>
      </c>
      <c r="P99" s="78">
        <v>-10</v>
      </c>
      <c r="Q99" s="78">
        <v>0</v>
      </c>
      <c r="R99" s="78">
        <v>0</v>
      </c>
      <c r="S99" s="78">
        <f>IF(OR(F112=N95,F112=O95,F112=P95,F112=Q95,F112=R95),HLOOKUP(F112,N95:R99,3,FALSE),0)</f>
        <v>0</v>
      </c>
      <c r="T99" s="78">
        <f>IF(OR(F113=N95,F113=O95,F113=P95,F113=Q95,F113=R95),HLOOKUP(F113,N95:R99,3,FALSE),0)</f>
        <v>0</v>
      </c>
      <c r="U99" s="78">
        <f t="shared" si="18"/>
        <v>0</v>
      </c>
      <c r="Z99" s="92" t="s">
        <v>394</v>
      </c>
      <c r="AA99" s="80">
        <v>5</v>
      </c>
      <c r="AB99" s="80">
        <v>7</v>
      </c>
      <c r="AC99" s="93" t="s">
        <v>757</v>
      </c>
      <c r="AD99" s="80">
        <v>30</v>
      </c>
      <c r="AE99" s="80">
        <v>5</v>
      </c>
      <c r="AF99" s="80">
        <v>6</v>
      </c>
      <c r="AG99" s="80" t="s">
        <v>285</v>
      </c>
      <c r="AH99" s="80" t="s">
        <v>285</v>
      </c>
      <c r="AI99" s="80">
        <v>5</v>
      </c>
      <c r="AJ99" s="80">
        <v>3500</v>
      </c>
      <c r="AL99" s="78">
        <v>1</v>
      </c>
    </row>
    <row r="100" spans="1:38" ht="12.75">
      <c r="A100" s="78" t="s">
        <v>1070</v>
      </c>
      <c r="E100" s="78">
        <v>4</v>
      </c>
      <c r="F100" s="78">
        <v>1</v>
      </c>
      <c r="H100" s="78">
        <v>4</v>
      </c>
      <c r="I100" s="78">
        <v>1</v>
      </c>
      <c r="K100" s="78" t="s">
        <v>35</v>
      </c>
      <c r="L100" s="1" t="b">
        <v>0</v>
      </c>
      <c r="M100" s="78">
        <f t="shared" si="17"/>
        <v>0</v>
      </c>
      <c r="N100" s="78">
        <v>-10</v>
      </c>
      <c r="O100" s="78">
        <v>10</v>
      </c>
      <c r="P100" s="78">
        <v>-10</v>
      </c>
      <c r="Q100" s="78">
        <v>0</v>
      </c>
      <c r="R100" s="78">
        <v>20</v>
      </c>
      <c r="S100" s="78">
        <f>IF(OR(F112=N95,F112=O95,F112=P95,F112=Q95,F112=R95),HLOOKUP(F112,N95:R100,3,FALSE),0)</f>
        <v>0</v>
      </c>
      <c r="T100" s="78">
        <f>IF(OR(F113=N95,F113=O95,F113=P95,F113=Q95,F113=R95),HLOOKUP(F113,N95:R100,3,FALSE),0)</f>
        <v>0</v>
      </c>
      <c r="U100" s="78">
        <f t="shared" si="18"/>
        <v>0</v>
      </c>
      <c r="Z100" s="92" t="s">
        <v>395</v>
      </c>
      <c r="AA100" s="80">
        <v>6</v>
      </c>
      <c r="AB100" s="80">
        <v>8</v>
      </c>
      <c r="AC100" s="93" t="s">
        <v>755</v>
      </c>
      <c r="AD100" s="80">
        <v>12</v>
      </c>
      <c r="AE100" s="80">
        <v>5</v>
      </c>
      <c r="AF100" s="80" t="s">
        <v>285</v>
      </c>
      <c r="AG100" s="80" t="s">
        <v>285</v>
      </c>
      <c r="AH100" s="80" t="s">
        <v>285</v>
      </c>
      <c r="AI100" s="80">
        <v>1</v>
      </c>
      <c r="AJ100" s="80">
        <v>5000</v>
      </c>
      <c r="AL100" s="78">
        <v>1</v>
      </c>
    </row>
    <row r="101" spans="5:38" ht="12.75">
      <c r="E101" s="78">
        <v>5</v>
      </c>
      <c r="F101" s="78">
        <v>1</v>
      </c>
      <c r="H101" s="78">
        <v>5</v>
      </c>
      <c r="I101" s="78">
        <v>1</v>
      </c>
      <c r="K101" s="78" t="s">
        <v>0</v>
      </c>
      <c r="L101" s="1" t="b">
        <v>0</v>
      </c>
      <c r="M101" s="78">
        <f t="shared" si="17"/>
        <v>0</v>
      </c>
      <c r="N101" s="78">
        <v>-10</v>
      </c>
      <c r="O101" s="78">
        <v>10</v>
      </c>
      <c r="P101" s="78">
        <v>-10</v>
      </c>
      <c r="Q101" s="78">
        <v>0</v>
      </c>
      <c r="R101" s="78">
        <v>0</v>
      </c>
      <c r="S101" s="78">
        <f>IF(OR(F112=N95,F112=O95,F112=P95,F112=Q95,F112=R95),HLOOKUP(F112,N95:R101,3,FALSE),0)</f>
        <v>0</v>
      </c>
      <c r="T101" s="78">
        <f>IF(OR(F113=N95,F113=O95,F113=P95,F113=Q95,F113=R95),HLOOKUP(F113,N95:R101,3,FALSE),0)</f>
        <v>0</v>
      </c>
      <c r="U101" s="78">
        <f t="shared" si="18"/>
        <v>0</v>
      </c>
      <c r="Z101" s="92" t="s">
        <v>621</v>
      </c>
      <c r="AA101" s="80">
        <v>4</v>
      </c>
      <c r="AB101" s="80">
        <v>5</v>
      </c>
      <c r="AC101" s="93" t="s">
        <v>758</v>
      </c>
      <c r="AD101" s="80">
        <v>30</v>
      </c>
      <c r="AE101" s="80">
        <v>4</v>
      </c>
      <c r="AF101" s="80">
        <v>5</v>
      </c>
      <c r="AG101" s="80" t="s">
        <v>285</v>
      </c>
      <c r="AH101" s="80" t="s">
        <v>285</v>
      </c>
      <c r="AI101" s="80">
        <v>12</v>
      </c>
      <c r="AJ101" s="80">
        <v>5250</v>
      </c>
      <c r="AL101" s="78">
        <v>1</v>
      </c>
    </row>
    <row r="102" spans="5:38" ht="12.75">
      <c r="E102" s="78">
        <v>6</v>
      </c>
      <c r="F102" s="78">
        <v>1</v>
      </c>
      <c r="H102" s="78">
        <v>6</v>
      </c>
      <c r="I102" s="78">
        <v>2</v>
      </c>
      <c r="K102" s="78" t="s">
        <v>1</v>
      </c>
      <c r="L102" s="1" t="b">
        <v>0</v>
      </c>
      <c r="M102" s="78">
        <f t="shared" si="17"/>
        <v>0</v>
      </c>
      <c r="N102" s="78">
        <v>0</v>
      </c>
      <c r="O102" s="78">
        <v>10</v>
      </c>
      <c r="P102" s="78">
        <v>-10</v>
      </c>
      <c r="Q102" s="78">
        <v>0</v>
      </c>
      <c r="R102" s="78">
        <v>0</v>
      </c>
      <c r="S102" s="78">
        <f>IF(OR(F112=N95,F112=O95,F112=P95,F112=Q95,F112=R95),HLOOKUP(F112,N95:R102,3,FALSE),0)</f>
        <v>0</v>
      </c>
      <c r="T102" s="78">
        <f>IF(OR(F113=N95,F113=O95,F113=P95,F113=Q95,F113=R95),HLOOKUP(F113,N95:R102,3,FALSE),0)</f>
        <v>0</v>
      </c>
      <c r="U102" s="78">
        <f t="shared" si="18"/>
        <v>0</v>
      </c>
      <c r="Z102" s="94" t="s">
        <v>1050</v>
      </c>
      <c r="AA102" s="80"/>
      <c r="AB102" s="80"/>
      <c r="AC102" s="93"/>
      <c r="AD102" s="80"/>
      <c r="AE102" s="80"/>
      <c r="AF102" s="80"/>
      <c r="AG102" s="80"/>
      <c r="AH102" s="80"/>
      <c r="AI102" s="80"/>
      <c r="AJ102" s="80"/>
      <c r="AL102" s="78">
        <v>1</v>
      </c>
    </row>
    <row r="103" spans="5:38" ht="12.75">
      <c r="E103" s="78">
        <v>7</v>
      </c>
      <c r="F103" s="78">
        <v>2</v>
      </c>
      <c r="H103" s="78">
        <v>7</v>
      </c>
      <c r="I103" s="78">
        <v>2</v>
      </c>
      <c r="K103" s="78" t="s">
        <v>36</v>
      </c>
      <c r="L103" s="1" t="b">
        <v>0</v>
      </c>
      <c r="M103" s="78">
        <f t="shared" si="17"/>
        <v>0</v>
      </c>
      <c r="N103" s="78">
        <v>20</v>
      </c>
      <c r="O103" s="78">
        <v>10</v>
      </c>
      <c r="P103" s="78">
        <v>-10</v>
      </c>
      <c r="Q103" s="78">
        <v>0</v>
      </c>
      <c r="R103" s="78">
        <v>-20</v>
      </c>
      <c r="S103" s="78">
        <f>IF(OR(F112=N95,F112=O95,F112=P95,F112=Q95,F112=R95),HLOOKUP(F112,N95:R103,3,FALSE),0)</f>
        <v>0</v>
      </c>
      <c r="T103" s="78">
        <f>IF(OR(F113=N95,F113=O95,F113=P95,F113=Q95,F113=R95),HLOOKUP(F113,N95:R103,3,FALSE),0)</f>
        <v>0</v>
      </c>
      <c r="U103" s="78">
        <f t="shared" si="18"/>
        <v>0</v>
      </c>
      <c r="Z103" s="92" t="s">
        <v>396</v>
      </c>
      <c r="AA103" s="80">
        <v>4</v>
      </c>
      <c r="AB103" s="80">
        <v>5</v>
      </c>
      <c r="AC103" s="93" t="s">
        <v>754</v>
      </c>
      <c r="AD103" s="80">
        <v>14</v>
      </c>
      <c r="AE103" s="80">
        <v>5</v>
      </c>
      <c r="AF103" s="80">
        <v>6</v>
      </c>
      <c r="AG103" s="80" t="s">
        <v>285</v>
      </c>
      <c r="AH103" s="80" t="s">
        <v>285</v>
      </c>
      <c r="AI103" s="80">
        <v>2</v>
      </c>
      <c r="AJ103" s="80">
        <v>800</v>
      </c>
      <c r="AL103" s="78">
        <v>1</v>
      </c>
    </row>
    <row r="104" spans="5:38" ht="12.75">
      <c r="E104" s="78">
        <v>8</v>
      </c>
      <c r="F104" s="78">
        <v>3</v>
      </c>
      <c r="H104" s="78">
        <v>8</v>
      </c>
      <c r="I104" s="78">
        <v>2</v>
      </c>
      <c r="K104" s="78" t="s">
        <v>37</v>
      </c>
      <c r="L104" s="1" t="b">
        <v>0</v>
      </c>
      <c r="M104" s="78">
        <f t="shared" si="17"/>
        <v>0</v>
      </c>
      <c r="N104" s="78">
        <v>20</v>
      </c>
      <c r="O104" s="78">
        <v>10</v>
      </c>
      <c r="P104" s="78">
        <v>-10</v>
      </c>
      <c r="Q104" s="78">
        <v>0</v>
      </c>
      <c r="R104" s="78">
        <v>-20</v>
      </c>
      <c r="S104" s="78">
        <f>IF(OR(F112=N95,F112=O95,F112=P95,F112=Q95,F112=R95),HLOOKUP(F112,N95:R104,3,FALSE),0)</f>
        <v>0</v>
      </c>
      <c r="T104" s="78">
        <f>IF(OR(F113=N95,F113=O95,F113=P95,F113=Q95,F113=R95),HLOOKUP(F113,N95:R104,3,FALSE),0)</f>
        <v>0</v>
      </c>
      <c r="U104" s="78">
        <f t="shared" si="18"/>
        <v>0</v>
      </c>
      <c r="Z104" s="92" t="s">
        <v>622</v>
      </c>
      <c r="AA104" s="80">
        <v>4</v>
      </c>
      <c r="AB104" s="80">
        <v>5</v>
      </c>
      <c r="AC104" s="93" t="s">
        <v>759</v>
      </c>
      <c r="AD104" s="80">
        <v>7</v>
      </c>
      <c r="AE104" s="80">
        <v>5</v>
      </c>
      <c r="AF104" s="80">
        <v>6</v>
      </c>
      <c r="AG104" s="80" t="s">
        <v>285</v>
      </c>
      <c r="AH104" s="80" t="s">
        <v>285</v>
      </c>
      <c r="AI104" s="80">
        <v>2</v>
      </c>
      <c r="AJ104" s="80">
        <v>800</v>
      </c>
      <c r="AL104" s="78">
        <v>1</v>
      </c>
    </row>
    <row r="105" spans="5:38" ht="12.75">
      <c r="E105" s="78">
        <v>9</v>
      </c>
      <c r="F105" s="78">
        <v>4</v>
      </c>
      <c r="H105" s="78">
        <v>9</v>
      </c>
      <c r="I105" s="78">
        <v>3</v>
      </c>
      <c r="K105" s="78" t="s">
        <v>2</v>
      </c>
      <c r="L105" s="1" t="b">
        <v>0</v>
      </c>
      <c r="M105" s="78">
        <f t="shared" si="17"/>
        <v>0</v>
      </c>
      <c r="N105" s="78">
        <v>0</v>
      </c>
      <c r="O105" s="78">
        <v>10</v>
      </c>
      <c r="P105" s="78">
        <v>-10</v>
      </c>
      <c r="Q105" s="78">
        <v>0</v>
      </c>
      <c r="R105" s="78">
        <v>0</v>
      </c>
      <c r="S105" s="78">
        <f>IF(OR(F112=N95,F112=O95,F112=P95,F112=Q95,F112=R95),HLOOKUP(F112,N95:R105,3,FALSE),0)</f>
        <v>0</v>
      </c>
      <c r="T105" s="78">
        <f>IF(OR(F113=N95,F113=O95,F113=P95,F113=Q95,F113=R95),HLOOKUP(F113,N95:R105,3,FALSE),0)</f>
        <v>0</v>
      </c>
      <c r="U105" s="78">
        <f t="shared" si="18"/>
        <v>0</v>
      </c>
      <c r="Z105" s="92" t="s">
        <v>623</v>
      </c>
      <c r="AA105" s="80">
        <v>4</v>
      </c>
      <c r="AB105" s="80">
        <v>5</v>
      </c>
      <c r="AC105" s="93" t="s">
        <v>743</v>
      </c>
      <c r="AD105" s="80">
        <v>14</v>
      </c>
      <c r="AE105" s="80">
        <v>5</v>
      </c>
      <c r="AF105" s="80" t="s">
        <v>285</v>
      </c>
      <c r="AG105" s="80" t="s">
        <v>285</v>
      </c>
      <c r="AH105" s="80" t="s">
        <v>285</v>
      </c>
      <c r="AI105" s="80">
        <v>5</v>
      </c>
      <c r="AJ105" s="80">
        <v>600</v>
      </c>
      <c r="AL105" s="78">
        <v>1</v>
      </c>
    </row>
    <row r="106" spans="5:38" ht="12.75">
      <c r="E106" s="78">
        <v>10</v>
      </c>
      <c r="F106" s="78">
        <v>5</v>
      </c>
      <c r="H106" s="78">
        <v>10</v>
      </c>
      <c r="I106" s="78">
        <v>3</v>
      </c>
      <c r="K106" s="78" t="s">
        <v>38</v>
      </c>
      <c r="L106" s="1" t="b">
        <v>0</v>
      </c>
      <c r="M106" s="78">
        <f t="shared" si="17"/>
        <v>0</v>
      </c>
      <c r="N106" s="78">
        <v>0</v>
      </c>
      <c r="O106" s="78">
        <v>10</v>
      </c>
      <c r="P106" s="78">
        <v>-10</v>
      </c>
      <c r="Q106" s="78">
        <v>15</v>
      </c>
      <c r="R106" s="78">
        <v>-20</v>
      </c>
      <c r="S106" s="78">
        <f>IF(OR(F112=N95,F112=O95,F112=P95,F112=Q95,F112=R95),HLOOKUP(F112,N95:R106,3,FALSE),0)</f>
        <v>0</v>
      </c>
      <c r="T106" s="78">
        <f>IF(OR(F113=N95,F113=O95,F113=P95,F113=Q95,F113=R95),HLOOKUP(F113,N95:R106,3,FALSE),0)</f>
        <v>0</v>
      </c>
      <c r="U106" s="78">
        <f t="shared" si="18"/>
        <v>0</v>
      </c>
      <c r="Z106" s="92" t="s">
        <v>624</v>
      </c>
      <c r="AA106" s="80">
        <v>4</v>
      </c>
      <c r="AB106" s="80">
        <v>5</v>
      </c>
      <c r="AC106" s="93" t="s">
        <v>754</v>
      </c>
      <c r="AD106" s="80">
        <v>14</v>
      </c>
      <c r="AE106" s="80">
        <v>5</v>
      </c>
      <c r="AF106" s="80">
        <v>6</v>
      </c>
      <c r="AG106" s="80" t="s">
        <v>285</v>
      </c>
      <c r="AH106" s="80" t="s">
        <v>285</v>
      </c>
      <c r="AI106" s="80">
        <v>2</v>
      </c>
      <c r="AJ106" s="80">
        <v>1000</v>
      </c>
      <c r="AL106" s="78">
        <v>1</v>
      </c>
    </row>
    <row r="107" spans="5:38" ht="12.75">
      <c r="E107" s="78">
        <v>11</v>
      </c>
      <c r="F107" s="78">
        <v>5</v>
      </c>
      <c r="H107" s="78">
        <v>11</v>
      </c>
      <c r="I107" s="78">
        <v>3</v>
      </c>
      <c r="K107" s="78" t="s">
        <v>3</v>
      </c>
      <c r="L107" s="1" t="b">
        <v>0</v>
      </c>
      <c r="M107" s="78">
        <f t="shared" si="17"/>
        <v>0</v>
      </c>
      <c r="N107" s="78">
        <v>0</v>
      </c>
      <c r="O107" s="78">
        <v>10</v>
      </c>
      <c r="P107" s="78">
        <v>-10</v>
      </c>
      <c r="Q107" s="78">
        <v>0</v>
      </c>
      <c r="R107" s="78">
        <v>0</v>
      </c>
      <c r="S107" s="78">
        <f>IF(OR(F112=N95,F112=O95,F112=P95,F112=Q95,F112=R95),HLOOKUP(F112,N95:R107,3,FALSE),0)</f>
        <v>0</v>
      </c>
      <c r="T107" s="78">
        <f>IF(OR(F113=N95,F113=O95,F113=P95,F113=Q95,F113=R95),HLOOKUP(F113,N95:R107,3,FALSE),0)</f>
        <v>0</v>
      </c>
      <c r="U107" s="78">
        <f t="shared" si="18"/>
        <v>0</v>
      </c>
      <c r="Z107" s="92" t="s">
        <v>625</v>
      </c>
      <c r="AA107" s="80">
        <v>6</v>
      </c>
      <c r="AB107" s="80">
        <v>10</v>
      </c>
      <c r="AC107" s="93" t="s">
        <v>759</v>
      </c>
      <c r="AD107" s="80">
        <v>22</v>
      </c>
      <c r="AE107" s="80">
        <v>5</v>
      </c>
      <c r="AF107" s="80">
        <v>6</v>
      </c>
      <c r="AG107" s="80">
        <v>6</v>
      </c>
      <c r="AH107" s="80">
        <v>3</v>
      </c>
      <c r="AI107" s="80">
        <v>12</v>
      </c>
      <c r="AJ107" s="80">
        <v>2700</v>
      </c>
      <c r="AL107" s="78">
        <v>1</v>
      </c>
    </row>
    <row r="108" spans="5:38" ht="12.75">
      <c r="E108" s="78">
        <v>12</v>
      </c>
      <c r="F108" s="78">
        <v>5</v>
      </c>
      <c r="H108" s="78">
        <v>12</v>
      </c>
      <c r="I108" s="78">
        <v>3</v>
      </c>
      <c r="K108" s="78" t="s">
        <v>4</v>
      </c>
      <c r="L108" s="1" t="b">
        <v>0</v>
      </c>
      <c r="M108" s="78">
        <f t="shared" si="17"/>
        <v>0</v>
      </c>
      <c r="N108" s="78">
        <v>0</v>
      </c>
      <c r="O108" s="78">
        <v>10</v>
      </c>
      <c r="P108" s="78">
        <v>-10</v>
      </c>
      <c r="Q108" s="78">
        <v>0</v>
      </c>
      <c r="R108" s="78">
        <v>0</v>
      </c>
      <c r="S108" s="78">
        <f>IF(OR(F112=N95,F112=O95,F112=P95,F112=Q95,F112=R95),HLOOKUP(F112,N95:R108,3,FALSE),0)</f>
        <v>0</v>
      </c>
      <c r="T108" s="78">
        <f>IF(OR(F113=N95,F113=O95,F113=P95,F113=Q95,F113=R95),HLOOKUP(F113,N95:R108,3,FALSE),0)</f>
        <v>0</v>
      </c>
      <c r="U108" s="78">
        <f t="shared" si="18"/>
        <v>0</v>
      </c>
      <c r="Z108" s="92" t="s">
        <v>626</v>
      </c>
      <c r="AA108" s="80">
        <v>5</v>
      </c>
      <c r="AB108" s="80">
        <v>11</v>
      </c>
      <c r="AC108" s="93" t="s">
        <v>760</v>
      </c>
      <c r="AD108" s="80">
        <v>22</v>
      </c>
      <c r="AE108" s="80">
        <v>5</v>
      </c>
      <c r="AF108" s="80">
        <v>6</v>
      </c>
      <c r="AG108" s="80">
        <v>6</v>
      </c>
      <c r="AH108" s="80">
        <v>3</v>
      </c>
      <c r="AI108" s="80">
        <v>12</v>
      </c>
      <c r="AJ108" s="80">
        <v>2750</v>
      </c>
      <c r="AL108" s="78">
        <v>1</v>
      </c>
    </row>
    <row r="109" spans="5:38" ht="12.75">
      <c r="E109" s="78">
        <v>13</v>
      </c>
      <c r="F109" s="78">
        <v>5</v>
      </c>
      <c r="H109" s="78">
        <v>13</v>
      </c>
      <c r="I109" s="78">
        <v>3</v>
      </c>
      <c r="K109" s="78" t="s">
        <v>39</v>
      </c>
      <c r="L109" s="1" t="b">
        <v>0</v>
      </c>
      <c r="M109" s="78">
        <f t="shared" si="17"/>
        <v>0</v>
      </c>
      <c r="N109" s="78">
        <v>0</v>
      </c>
      <c r="O109" s="78">
        <v>10</v>
      </c>
      <c r="P109" s="78">
        <v>-10</v>
      </c>
      <c r="Q109" s="78">
        <v>15</v>
      </c>
      <c r="R109" s="78">
        <v>-20</v>
      </c>
      <c r="S109" s="78">
        <f>IF(OR(F112=N95,F112=O95,F112=P95,F112=Q95,F112=R95),HLOOKUP(F112,N95:R109,3,FALSE),0)</f>
        <v>0</v>
      </c>
      <c r="T109" s="78">
        <f>IF(OR(F113=N95,F113=O95,F113=P95,F113=Q95,F113=R95),HLOOKUP(F113,N95:R109,3,FALSE),0)</f>
        <v>0</v>
      </c>
      <c r="U109" s="78">
        <f t="shared" si="18"/>
        <v>0</v>
      </c>
      <c r="Z109" s="92" t="s">
        <v>627</v>
      </c>
      <c r="AA109" s="80">
        <v>6</v>
      </c>
      <c r="AB109" s="80">
        <v>6</v>
      </c>
      <c r="AC109" s="93" t="s">
        <v>760</v>
      </c>
      <c r="AD109" s="80">
        <v>30</v>
      </c>
      <c r="AE109" s="80">
        <v>6</v>
      </c>
      <c r="AF109" s="80">
        <v>6</v>
      </c>
      <c r="AG109" s="80">
        <v>6</v>
      </c>
      <c r="AH109" s="80">
        <v>5</v>
      </c>
      <c r="AI109" s="80">
        <v>10</v>
      </c>
      <c r="AJ109" s="80">
        <v>4750</v>
      </c>
      <c r="AL109" s="78">
        <v>1</v>
      </c>
    </row>
    <row r="110" spans="5:38" ht="12.75">
      <c r="E110" s="78">
        <v>14</v>
      </c>
      <c r="F110" s="78">
        <v>5</v>
      </c>
      <c r="K110" s="78" t="s">
        <v>5</v>
      </c>
      <c r="L110" s="1" t="b">
        <v>0</v>
      </c>
      <c r="M110" s="78">
        <f t="shared" si="17"/>
        <v>0</v>
      </c>
      <c r="N110" s="78">
        <v>0</v>
      </c>
      <c r="O110" s="78">
        <v>10</v>
      </c>
      <c r="P110" s="78">
        <v>-10</v>
      </c>
      <c r="Q110" s="78">
        <v>15</v>
      </c>
      <c r="R110" s="78">
        <v>-20</v>
      </c>
      <c r="S110" s="78">
        <f>IF(OR(F112=N95,F112=O95,F112=P95,F112=Q95,F112=R95),HLOOKUP(F112,N95:R110,3,FALSE),0)</f>
        <v>0</v>
      </c>
      <c r="T110" s="78">
        <f>IF(OR(F113=N95,F113=O95,F113=P95,F113=Q95,F113=R95),HLOOKUP(F113,N95:R110,3,FALSE),0)</f>
        <v>0</v>
      </c>
      <c r="U110" s="78">
        <f t="shared" si="18"/>
        <v>0</v>
      </c>
      <c r="Z110" s="92" t="s">
        <v>628</v>
      </c>
      <c r="AA110" s="80">
        <v>5</v>
      </c>
      <c r="AB110" s="80">
        <v>12</v>
      </c>
      <c r="AC110" s="93" t="s">
        <v>761</v>
      </c>
      <c r="AD110" s="80">
        <v>35</v>
      </c>
      <c r="AE110" s="80">
        <v>5</v>
      </c>
      <c r="AF110" s="80">
        <v>6</v>
      </c>
      <c r="AG110" s="80">
        <v>6</v>
      </c>
      <c r="AH110" s="80">
        <v>5</v>
      </c>
      <c r="AI110" s="80">
        <v>10</v>
      </c>
      <c r="AJ110" s="80">
        <v>5500</v>
      </c>
      <c r="AL110" s="78">
        <v>1</v>
      </c>
    </row>
    <row r="111" spans="11:38" ht="12.75">
      <c r="K111" s="78" t="s">
        <v>9</v>
      </c>
      <c r="L111" s="1" t="b">
        <v>0</v>
      </c>
      <c r="M111" s="78">
        <f t="shared" si="17"/>
        <v>0</v>
      </c>
      <c r="N111" s="78">
        <v>0</v>
      </c>
      <c r="O111" s="78">
        <v>10</v>
      </c>
      <c r="P111" s="78">
        <v>-10</v>
      </c>
      <c r="Q111" s="78">
        <v>0</v>
      </c>
      <c r="R111" s="78">
        <v>0</v>
      </c>
      <c r="S111" s="78">
        <f>IF(OR(F112=N95,F112=O95,F112=P95,F112=Q95,F112=R95),HLOOKUP(F112,N95:R111,3,FALSE),0)</f>
        <v>0</v>
      </c>
      <c r="T111" s="78">
        <f>IF(OR(F113=N95,F113=O95,F113=P95,F113=Q95,F113=R95),HLOOKUP(F113,N95:R111,3,FALSE),0)</f>
        <v>0</v>
      </c>
      <c r="U111" s="78">
        <f t="shared" si="18"/>
        <v>0</v>
      </c>
      <c r="Z111" s="80" t="s">
        <v>1047</v>
      </c>
      <c r="AB111" s="1"/>
      <c r="AC111" s="88"/>
      <c r="AD111" s="1"/>
      <c r="AE111" s="1"/>
      <c r="AF111" s="1"/>
      <c r="AG111" s="1"/>
      <c r="AH111" s="1"/>
      <c r="AI111" s="1"/>
      <c r="AJ111" s="1"/>
      <c r="AL111" s="78">
        <v>1</v>
      </c>
    </row>
    <row r="112" spans="5:38" ht="12.75">
      <c r="E112" s="78" t="s">
        <v>149</v>
      </c>
      <c r="F112" s="78">
        <v>1</v>
      </c>
      <c r="H112" s="78">
        <v>5</v>
      </c>
      <c r="K112" s="78" t="s">
        <v>6</v>
      </c>
      <c r="L112" s="1" t="b">
        <v>0</v>
      </c>
      <c r="M112" s="78">
        <f t="shared" si="17"/>
        <v>0</v>
      </c>
      <c r="N112" s="78">
        <v>20</v>
      </c>
      <c r="O112" s="78">
        <v>10</v>
      </c>
      <c r="P112" s="78">
        <v>-10</v>
      </c>
      <c r="Q112" s="78">
        <v>0</v>
      </c>
      <c r="R112" s="78">
        <v>0</v>
      </c>
      <c r="S112" s="78">
        <f>IF(OR(F112=N95,F112=O95,F112=P95,F112=Q95,F112=R95),HLOOKUP(F112,N95:R112,3,FALSE),0)</f>
        <v>0</v>
      </c>
      <c r="T112" s="78">
        <f>IF(OR(F113=N95,F113=O95,F113=P95,F113=Q95,F113=R95),HLOOKUP(F113,N95:R112,3,FALSE),0)</f>
        <v>0</v>
      </c>
      <c r="U112" s="78">
        <f t="shared" si="18"/>
        <v>0</v>
      </c>
      <c r="Z112" s="92" t="s">
        <v>397</v>
      </c>
      <c r="AA112" s="1">
        <v>4</v>
      </c>
      <c r="AB112" s="1">
        <v>7</v>
      </c>
      <c r="AC112" s="88" t="s">
        <v>746</v>
      </c>
      <c r="AD112" s="1">
        <v>25</v>
      </c>
      <c r="AE112" s="1">
        <v>5</v>
      </c>
      <c r="AF112" s="1">
        <v>6</v>
      </c>
      <c r="AG112" s="1">
        <v>6</v>
      </c>
      <c r="AH112" s="1">
        <v>10</v>
      </c>
      <c r="AI112" s="1">
        <v>30</v>
      </c>
      <c r="AJ112" s="1">
        <v>1000</v>
      </c>
      <c r="AL112" s="78">
        <v>1</v>
      </c>
    </row>
    <row r="113" spans="5:38" ht="12.75">
      <c r="E113" s="78" t="s">
        <v>150</v>
      </c>
      <c r="F113" s="78">
        <v>1</v>
      </c>
      <c r="H113" s="78">
        <f>SUM(Игрок1!K110,Игрок1!K112,Игрок1!K114,Игрок1!K116,Игрок1!K118,Игрок1!K120,Игрок1!K122)</f>
        <v>0</v>
      </c>
      <c r="K113" s="78" t="s">
        <v>7</v>
      </c>
      <c r="L113" s="1" t="b">
        <v>0</v>
      </c>
      <c r="M113" s="78">
        <f t="shared" si="17"/>
        <v>0</v>
      </c>
      <c r="N113" s="78">
        <v>20</v>
      </c>
      <c r="O113" s="78">
        <v>10</v>
      </c>
      <c r="P113" s="78">
        <v>-10</v>
      </c>
      <c r="Q113" s="78">
        <v>0</v>
      </c>
      <c r="R113" s="78">
        <v>0</v>
      </c>
      <c r="S113" s="78">
        <f>IF(OR(F112=N95,F112=O95,F112=P95,F112=Q95,F112=R95),HLOOKUP(F112,N95:R113,3,FALSE),0)</f>
        <v>0</v>
      </c>
      <c r="T113" s="78">
        <f>IF(OR(F113=N95,F113=O95,F113=P95,F113=Q95,F113=R95),HLOOKUP(F113,N95:R113,3,FALSE),0)</f>
        <v>0</v>
      </c>
      <c r="U113" s="78">
        <f t="shared" si="18"/>
        <v>0</v>
      </c>
      <c r="Z113" s="92" t="s">
        <v>629</v>
      </c>
      <c r="AA113" s="1">
        <v>4</v>
      </c>
      <c r="AB113" s="1">
        <v>6</v>
      </c>
      <c r="AC113" s="88" t="s">
        <v>748</v>
      </c>
      <c r="AD113" s="1">
        <v>25</v>
      </c>
      <c r="AE113" s="1">
        <v>5</v>
      </c>
      <c r="AF113" s="1">
        <v>6</v>
      </c>
      <c r="AG113" s="1">
        <v>6</v>
      </c>
      <c r="AH113" s="1">
        <v>10</v>
      </c>
      <c r="AI113" s="1">
        <v>30</v>
      </c>
      <c r="AJ113" s="1">
        <v>1050</v>
      </c>
      <c r="AL113" s="78">
        <v>1</v>
      </c>
    </row>
    <row r="114" spans="11:38" ht="12.75">
      <c r="K114" s="78" t="s">
        <v>40</v>
      </c>
      <c r="L114" s="1" t="b">
        <v>0</v>
      </c>
      <c r="M114" s="78">
        <f t="shared" si="17"/>
        <v>0</v>
      </c>
      <c r="N114" s="78">
        <v>0</v>
      </c>
      <c r="O114" s="78">
        <v>10</v>
      </c>
      <c r="P114" s="78">
        <v>-10</v>
      </c>
      <c r="Q114" s="78">
        <v>0</v>
      </c>
      <c r="R114" s="78">
        <v>0</v>
      </c>
      <c r="S114" s="78">
        <f>IF(OR(F112=N95,F112=O95,F112=P95,F112=Q95,F112=R95),HLOOKUP(F112,N95:R114,3,FALSE),0)</f>
        <v>0</v>
      </c>
      <c r="T114" s="78">
        <f>IF(OR(F113=N95,F113=O95,F113=P95,F113=Q95,F113=R95),HLOOKUP(F113,N95:R114,3,FALSE),0)</f>
        <v>0</v>
      </c>
      <c r="U114" s="78">
        <f t="shared" si="18"/>
        <v>0</v>
      </c>
      <c r="Z114" s="92" t="s">
        <v>630</v>
      </c>
      <c r="AA114" s="1">
        <v>4</v>
      </c>
      <c r="AB114" s="1">
        <v>7</v>
      </c>
      <c r="AC114" s="88" t="s">
        <v>756</v>
      </c>
      <c r="AD114" s="1">
        <v>20</v>
      </c>
      <c r="AE114" s="1">
        <v>5</v>
      </c>
      <c r="AF114" s="1">
        <v>6</v>
      </c>
      <c r="AG114" s="1">
        <v>6</v>
      </c>
      <c r="AH114" s="1">
        <v>10</v>
      </c>
      <c r="AI114" s="1">
        <v>30</v>
      </c>
      <c r="AJ114" s="1">
        <v>1100</v>
      </c>
      <c r="AL114" s="78">
        <v>1</v>
      </c>
    </row>
    <row r="115" spans="11:38" ht="12.75">
      <c r="K115" s="78" t="s">
        <v>41</v>
      </c>
      <c r="L115" s="1" t="b">
        <v>0</v>
      </c>
      <c r="M115" s="78">
        <f t="shared" si="17"/>
        <v>0</v>
      </c>
      <c r="N115" s="78">
        <v>0</v>
      </c>
      <c r="O115" s="78">
        <v>10</v>
      </c>
      <c r="P115" s="78">
        <v>-10</v>
      </c>
      <c r="Q115" s="78">
        <v>0</v>
      </c>
      <c r="R115" s="78">
        <v>0</v>
      </c>
      <c r="S115" s="78">
        <f>IF(OR(F112=N95,F112=O95,F112=P95,F112=Q95,F112=R95),HLOOKUP(F112,N95:R115,3,FALSE),0)</f>
        <v>0</v>
      </c>
      <c r="T115" s="78">
        <f>IF(OR(F113=N95,F113=O95,F113=P95,F113=Q95,F113=R95),HLOOKUP(F113,N95:R115,3,FALSE),0)</f>
        <v>0</v>
      </c>
      <c r="U115" s="78">
        <f t="shared" si="18"/>
        <v>0</v>
      </c>
      <c r="Z115" s="92" t="s">
        <v>631</v>
      </c>
      <c r="AA115" s="1">
        <v>4</v>
      </c>
      <c r="AB115" s="1">
        <v>7</v>
      </c>
      <c r="AC115" s="88" t="s">
        <v>745</v>
      </c>
      <c r="AD115" s="1">
        <v>20</v>
      </c>
      <c r="AE115" s="1">
        <v>5</v>
      </c>
      <c r="AF115" s="1">
        <v>6</v>
      </c>
      <c r="AG115" s="1">
        <v>6</v>
      </c>
      <c r="AH115" s="1">
        <v>10</v>
      </c>
      <c r="AI115" s="1">
        <v>40</v>
      </c>
      <c r="AJ115" s="1">
        <v>1200</v>
      </c>
      <c r="AL115" s="78">
        <v>1</v>
      </c>
    </row>
    <row r="116" spans="26:38" ht="12.75">
      <c r="Z116" s="92" t="s">
        <v>633</v>
      </c>
      <c r="AA116" s="1">
        <v>4</v>
      </c>
      <c r="AB116" s="1">
        <v>7</v>
      </c>
      <c r="AC116" s="88" t="s">
        <v>756</v>
      </c>
      <c r="AD116" s="1">
        <v>20</v>
      </c>
      <c r="AE116" s="1">
        <v>5</v>
      </c>
      <c r="AF116" s="1">
        <v>6</v>
      </c>
      <c r="AG116" s="1">
        <v>6</v>
      </c>
      <c r="AH116" s="1">
        <v>5</v>
      </c>
      <c r="AI116" s="1">
        <v>25</v>
      </c>
      <c r="AJ116" s="1">
        <v>1300</v>
      </c>
      <c r="AL116" s="78">
        <v>1</v>
      </c>
    </row>
    <row r="117" spans="26:38" ht="12.75">
      <c r="Z117" s="92" t="s">
        <v>632</v>
      </c>
      <c r="AA117" s="1">
        <v>6</v>
      </c>
      <c r="AB117" s="1">
        <v>12</v>
      </c>
      <c r="AC117" s="88" t="s">
        <v>762</v>
      </c>
      <c r="AD117" s="1">
        <v>32</v>
      </c>
      <c r="AE117" s="1">
        <v>5</v>
      </c>
      <c r="AF117" s="1">
        <v>6</v>
      </c>
      <c r="AG117" s="1">
        <v>6</v>
      </c>
      <c r="AH117" s="1">
        <v>10</v>
      </c>
      <c r="AI117" s="1">
        <v>50</v>
      </c>
      <c r="AJ117" s="1">
        <v>1200</v>
      </c>
      <c r="AL117" s="78">
        <v>1</v>
      </c>
    </row>
    <row r="118" spans="26:38" ht="12.75">
      <c r="Z118" s="92" t="s">
        <v>634</v>
      </c>
      <c r="AA118" s="1">
        <v>5</v>
      </c>
      <c r="AB118" s="1">
        <v>8</v>
      </c>
      <c r="AC118" s="88" t="s">
        <v>760</v>
      </c>
      <c r="AD118" s="1">
        <v>20</v>
      </c>
      <c r="AE118" s="1">
        <v>5</v>
      </c>
      <c r="AF118" s="1">
        <v>6</v>
      </c>
      <c r="AG118" s="1">
        <v>6</v>
      </c>
      <c r="AH118" s="1">
        <v>3</v>
      </c>
      <c r="AI118" s="1">
        <v>20</v>
      </c>
      <c r="AJ118" s="1">
        <v>1400</v>
      </c>
      <c r="AL118" s="78">
        <v>1</v>
      </c>
    </row>
    <row r="119" spans="26:38" ht="12.75">
      <c r="Z119" s="92" t="s">
        <v>635</v>
      </c>
      <c r="AA119" s="1">
        <v>6</v>
      </c>
      <c r="AB119" s="1">
        <v>15</v>
      </c>
      <c r="AC119" s="88" t="s">
        <v>756</v>
      </c>
      <c r="AD119" s="1">
        <v>24</v>
      </c>
      <c r="AE119" s="1">
        <v>5</v>
      </c>
      <c r="AF119" s="1">
        <v>6</v>
      </c>
      <c r="AG119" s="1">
        <v>6</v>
      </c>
      <c r="AH119" s="1">
        <v>3</v>
      </c>
      <c r="AI119" s="1">
        <v>30</v>
      </c>
      <c r="AJ119" s="1">
        <v>1500</v>
      </c>
      <c r="AL119" s="78">
        <v>1</v>
      </c>
    </row>
    <row r="120" spans="26:38" ht="12.75">
      <c r="Z120" s="92" t="s">
        <v>636</v>
      </c>
      <c r="AA120" s="1">
        <v>4</v>
      </c>
      <c r="AB120" s="1">
        <v>7</v>
      </c>
      <c r="AC120" s="88" t="s">
        <v>751</v>
      </c>
      <c r="AD120" s="1">
        <v>20</v>
      </c>
      <c r="AE120" s="1">
        <v>5</v>
      </c>
      <c r="AF120" s="1">
        <v>6</v>
      </c>
      <c r="AG120" s="1">
        <v>6</v>
      </c>
      <c r="AH120" s="1">
        <v>3</v>
      </c>
      <c r="AI120" s="1">
        <v>30</v>
      </c>
      <c r="AJ120" s="1">
        <v>1650</v>
      </c>
      <c r="AL120" s="78">
        <v>1</v>
      </c>
    </row>
    <row r="121" spans="14:38" ht="12.75">
      <c r="N121" s="78">
        <v>12</v>
      </c>
      <c r="O121" s="1">
        <v>16</v>
      </c>
      <c r="P121" s="89">
        <v>17</v>
      </c>
      <c r="Q121" s="89">
        <v>20</v>
      </c>
      <c r="R121" s="1">
        <v>23</v>
      </c>
      <c r="Z121" s="92" t="s">
        <v>637</v>
      </c>
      <c r="AA121" s="1">
        <v>4</v>
      </c>
      <c r="AB121" s="1">
        <v>10</v>
      </c>
      <c r="AC121" s="88" t="s">
        <v>751</v>
      </c>
      <c r="AD121" s="1">
        <v>20</v>
      </c>
      <c r="AE121" s="1">
        <v>4</v>
      </c>
      <c r="AF121" s="1">
        <v>5</v>
      </c>
      <c r="AG121" s="1">
        <v>5</v>
      </c>
      <c r="AH121" s="1">
        <v>10</v>
      </c>
      <c r="AI121" s="1">
        <v>30</v>
      </c>
      <c r="AJ121" s="1">
        <v>1750</v>
      </c>
      <c r="AL121" s="78">
        <v>1</v>
      </c>
    </row>
    <row r="122" spans="4:38" ht="12.75">
      <c r="D122" s="78" t="s">
        <v>141</v>
      </c>
      <c r="E122" s="1" t="s">
        <v>114</v>
      </c>
      <c r="F122" s="1" t="s">
        <v>129</v>
      </c>
      <c r="G122" s="2" t="s">
        <v>142</v>
      </c>
      <c r="H122" s="1" t="s">
        <v>116</v>
      </c>
      <c r="I122" s="1" t="s">
        <v>152</v>
      </c>
      <c r="K122" s="1" t="s">
        <v>73</v>
      </c>
      <c r="L122" s="84" t="s">
        <v>93</v>
      </c>
      <c r="M122" s="1" t="s">
        <v>153</v>
      </c>
      <c r="N122" s="1" t="s">
        <v>166</v>
      </c>
      <c r="O122" s="1" t="s">
        <v>170</v>
      </c>
      <c r="P122" s="1" t="s">
        <v>171</v>
      </c>
      <c r="Q122" s="1" t="s">
        <v>54</v>
      </c>
      <c r="R122" s="1" t="s">
        <v>55</v>
      </c>
      <c r="S122" s="1" t="s">
        <v>215</v>
      </c>
      <c r="T122" s="1" t="s">
        <v>216</v>
      </c>
      <c r="U122" s="1" t="s">
        <v>75</v>
      </c>
      <c r="Z122" s="92" t="s">
        <v>638</v>
      </c>
      <c r="AA122" s="1">
        <v>4</v>
      </c>
      <c r="AB122" s="1">
        <v>8</v>
      </c>
      <c r="AC122" s="88" t="s">
        <v>749</v>
      </c>
      <c r="AD122" s="1">
        <v>40</v>
      </c>
      <c r="AE122" s="1">
        <v>5</v>
      </c>
      <c r="AF122" s="1">
        <v>6</v>
      </c>
      <c r="AG122" s="1">
        <v>6</v>
      </c>
      <c r="AH122" s="1">
        <v>10</v>
      </c>
      <c r="AI122" s="1">
        <v>30</v>
      </c>
      <c r="AJ122" s="1">
        <v>1800</v>
      </c>
      <c r="AL122" s="78">
        <v>1</v>
      </c>
    </row>
    <row r="123" spans="5:38" ht="12.75">
      <c r="E123" s="78">
        <v>1</v>
      </c>
      <c r="F123" s="78">
        <v>1</v>
      </c>
      <c r="H123" s="78">
        <v>1</v>
      </c>
      <c r="I123" s="78">
        <v>1</v>
      </c>
      <c r="K123" s="78" t="s">
        <v>32</v>
      </c>
      <c r="L123" s="1" t="b">
        <v>0</v>
      </c>
      <c r="M123" s="78">
        <f>IF(L123=TRUE,20,0)</f>
        <v>0</v>
      </c>
      <c r="N123" s="78">
        <v>-10</v>
      </c>
      <c r="O123" s="78">
        <v>10</v>
      </c>
      <c r="P123" s="78">
        <v>-10</v>
      </c>
      <c r="Q123" s="78">
        <v>0</v>
      </c>
      <c r="R123" s="78">
        <v>-20</v>
      </c>
      <c r="S123" s="78">
        <f>IF(OR(F138=N121,F138=O121,F138=P121,F138=Q121,F138=R121),HLOOKUP(F138,N121:R123,3,FALSE),0)</f>
        <v>0</v>
      </c>
      <c r="T123" s="78">
        <f>IF(OR(F139=N121,F139=O121,F139=P121,F139=Q121,F139=R121),HLOOKUP(F139,N121:R123,3,FALSE),0)</f>
        <v>0</v>
      </c>
      <c r="U123" s="78">
        <f>SUM(S123:T123)</f>
        <v>0</v>
      </c>
      <c r="Z123" s="92" t="s">
        <v>639</v>
      </c>
      <c r="AA123" s="1">
        <v>2</v>
      </c>
      <c r="AB123" s="1">
        <v>15</v>
      </c>
      <c r="AC123" s="88" t="s">
        <v>755</v>
      </c>
      <c r="AD123" s="1">
        <v>10</v>
      </c>
      <c r="AE123" s="1">
        <v>5</v>
      </c>
      <c r="AF123" s="1" t="s">
        <v>285</v>
      </c>
      <c r="AG123" s="1" t="s">
        <v>285</v>
      </c>
      <c r="AH123" s="1" t="s">
        <v>285</v>
      </c>
      <c r="AI123" s="1">
        <v>15</v>
      </c>
      <c r="AJ123" s="1">
        <v>1900</v>
      </c>
      <c r="AL123" s="78">
        <v>1</v>
      </c>
    </row>
    <row r="124" spans="5:38" ht="12.75">
      <c r="E124" s="78">
        <v>2</v>
      </c>
      <c r="F124" s="78">
        <v>1</v>
      </c>
      <c r="H124" s="78">
        <v>2</v>
      </c>
      <c r="I124" s="78">
        <v>1</v>
      </c>
      <c r="K124" s="78" t="s">
        <v>33</v>
      </c>
      <c r="L124" s="1" t="b">
        <v>0</v>
      </c>
      <c r="M124" s="78">
        <f aca="true" t="shared" si="19" ref="M124:M141">IF(L124=TRUE,20,0)</f>
        <v>0</v>
      </c>
      <c r="N124" s="78">
        <v>-10</v>
      </c>
      <c r="O124" s="78">
        <v>10</v>
      </c>
      <c r="P124" s="78">
        <v>-10</v>
      </c>
      <c r="Q124" s="78">
        <v>0</v>
      </c>
      <c r="R124" s="78">
        <v>0</v>
      </c>
      <c r="S124" s="78">
        <f>IF(OR(F138=N121,F138=O121,F138=P121,F138=Q121,F138=R121),HLOOKUP(F138,N121:R124,3,FALSE),0)</f>
        <v>0</v>
      </c>
      <c r="T124" s="78">
        <f>IF(OR(F139=N121,F139=O121,F139=P121,F139=Q121,F139=R121),HLOOKUP(F139,N121:R124,3,FALSE),0)</f>
        <v>0</v>
      </c>
      <c r="U124" s="78">
        <f aca="true" t="shared" si="20" ref="U124:U141">SUM(S124:T124)</f>
        <v>0</v>
      </c>
      <c r="Z124" s="92" t="s">
        <v>640</v>
      </c>
      <c r="AA124" s="1">
        <v>6</v>
      </c>
      <c r="AB124" s="1">
        <v>22</v>
      </c>
      <c r="AC124" s="88" t="s">
        <v>749</v>
      </c>
      <c r="AD124" s="1">
        <v>20</v>
      </c>
      <c r="AE124" s="1">
        <v>5</v>
      </c>
      <c r="AF124" s="1">
        <v>6</v>
      </c>
      <c r="AG124" s="1">
        <v>6</v>
      </c>
      <c r="AH124" s="1">
        <v>5</v>
      </c>
      <c r="AI124" s="1">
        <v>100</v>
      </c>
      <c r="AJ124" s="1">
        <v>2000</v>
      </c>
      <c r="AL124" s="78">
        <v>1</v>
      </c>
    </row>
    <row r="125" spans="5:38" ht="12.75">
      <c r="E125" s="78">
        <v>3</v>
      </c>
      <c r="F125" s="78">
        <v>1</v>
      </c>
      <c r="H125" s="78">
        <v>3</v>
      </c>
      <c r="I125" s="78">
        <v>1</v>
      </c>
      <c r="K125" s="78" t="s">
        <v>34</v>
      </c>
      <c r="L125" s="1" t="b">
        <v>0</v>
      </c>
      <c r="M125" s="78">
        <f t="shared" si="19"/>
        <v>0</v>
      </c>
      <c r="N125" s="78">
        <v>-10</v>
      </c>
      <c r="O125" s="78">
        <v>10</v>
      </c>
      <c r="P125" s="78">
        <v>-10</v>
      </c>
      <c r="Q125" s="78">
        <v>0</v>
      </c>
      <c r="R125" s="78">
        <v>0</v>
      </c>
      <c r="S125" s="78">
        <f>IF(OR(F138=N121,F138=O121,F138=P121,F138=Q121,F138=R121),HLOOKUP(F138,N121:R125,3,FALSE),0)</f>
        <v>0</v>
      </c>
      <c r="T125" s="78">
        <f>IF(OR(F139=N121,F139=O121,F139=P121,F139=Q121,F139=R121),HLOOKUP(F139,N121:R125,3,FALSE),0)</f>
        <v>0</v>
      </c>
      <c r="U125" s="78">
        <f t="shared" si="20"/>
        <v>0</v>
      </c>
      <c r="Z125" s="92" t="s">
        <v>641</v>
      </c>
      <c r="AA125" s="1">
        <v>5</v>
      </c>
      <c r="AB125" s="1">
        <v>7</v>
      </c>
      <c r="AC125" s="88" t="s">
        <v>749</v>
      </c>
      <c r="AD125" s="1">
        <v>28</v>
      </c>
      <c r="AE125" s="1">
        <v>5</v>
      </c>
      <c r="AF125" s="1">
        <v>6</v>
      </c>
      <c r="AG125" s="1">
        <v>6</v>
      </c>
      <c r="AH125" s="1">
        <v>10</v>
      </c>
      <c r="AI125" s="1">
        <v>40</v>
      </c>
      <c r="AJ125" s="1">
        <v>2300</v>
      </c>
      <c r="AL125" s="78">
        <v>1</v>
      </c>
    </row>
    <row r="126" spans="5:38" ht="12.75">
      <c r="E126" s="78">
        <v>4</v>
      </c>
      <c r="F126" s="78">
        <v>1</v>
      </c>
      <c r="H126" s="78">
        <v>4</v>
      </c>
      <c r="I126" s="78">
        <v>1</v>
      </c>
      <c r="K126" s="78" t="s">
        <v>35</v>
      </c>
      <c r="L126" s="1" t="b">
        <v>0</v>
      </c>
      <c r="M126" s="78">
        <f t="shared" si="19"/>
        <v>0</v>
      </c>
      <c r="N126" s="78">
        <v>-10</v>
      </c>
      <c r="O126" s="78">
        <v>10</v>
      </c>
      <c r="P126" s="78">
        <v>-10</v>
      </c>
      <c r="Q126" s="78">
        <v>0</v>
      </c>
      <c r="R126" s="78">
        <v>20</v>
      </c>
      <c r="S126" s="78">
        <f>IF(OR(F138=N121,F138=O121,F138=P121,F138=Q121,F138=R121),HLOOKUP(F138,N121:R126,3,FALSE),0)</f>
        <v>0</v>
      </c>
      <c r="T126" s="78">
        <f>IF(OR(F139=N121,F139=O121,F139=P121,F139=Q121,F139=R121),HLOOKUP(F139,N121:R126,3,FALSE),0)</f>
        <v>0</v>
      </c>
      <c r="U126" s="78">
        <f t="shared" si="20"/>
        <v>0</v>
      </c>
      <c r="Z126" s="92" t="s">
        <v>642</v>
      </c>
      <c r="AA126" s="1">
        <v>4</v>
      </c>
      <c r="AB126" s="1">
        <v>9</v>
      </c>
      <c r="AC126" s="88" t="s">
        <v>754</v>
      </c>
      <c r="AD126" s="1">
        <v>30</v>
      </c>
      <c r="AE126" s="1">
        <v>4</v>
      </c>
      <c r="AF126" s="1">
        <v>5</v>
      </c>
      <c r="AG126" s="1">
        <v>5</v>
      </c>
      <c r="AH126" s="1">
        <v>12</v>
      </c>
      <c r="AI126" s="1">
        <v>24</v>
      </c>
      <c r="AJ126" s="1">
        <v>2500</v>
      </c>
      <c r="AL126" s="78">
        <v>1</v>
      </c>
    </row>
    <row r="127" spans="1:38" ht="12.75">
      <c r="A127" s="78" t="s">
        <v>1071</v>
      </c>
      <c r="E127" s="78">
        <v>5</v>
      </c>
      <c r="F127" s="78">
        <v>1</v>
      </c>
      <c r="H127" s="78">
        <v>5</v>
      </c>
      <c r="I127" s="78">
        <v>1</v>
      </c>
      <c r="K127" s="78" t="s">
        <v>0</v>
      </c>
      <c r="L127" s="1" t="b">
        <v>0</v>
      </c>
      <c r="M127" s="78">
        <f t="shared" si="19"/>
        <v>0</v>
      </c>
      <c r="N127" s="78">
        <v>-10</v>
      </c>
      <c r="O127" s="78">
        <v>10</v>
      </c>
      <c r="P127" s="78">
        <v>-10</v>
      </c>
      <c r="Q127" s="78">
        <v>0</v>
      </c>
      <c r="R127" s="78">
        <v>0</v>
      </c>
      <c r="S127" s="78">
        <f>IF(OR(F138=N121,F138=O121,F138=P121,F138=Q121,F138=R121),HLOOKUP(F138,N121:R127,3,FALSE),0)</f>
        <v>0</v>
      </c>
      <c r="T127" s="78">
        <f>IF(OR(F139=N121,F139=O121,F139=P121,F139=Q121,F139=R121),HLOOKUP(F139,N121:R127,3,FALSE),0)</f>
        <v>0</v>
      </c>
      <c r="U127" s="78">
        <f t="shared" si="20"/>
        <v>0</v>
      </c>
      <c r="Z127" s="92" t="s">
        <v>643</v>
      </c>
      <c r="AA127" s="1">
        <v>4</v>
      </c>
      <c r="AB127" s="1">
        <v>8</v>
      </c>
      <c r="AC127" s="88" t="s">
        <v>760</v>
      </c>
      <c r="AD127" s="1">
        <v>22</v>
      </c>
      <c r="AE127" s="1">
        <v>5</v>
      </c>
      <c r="AF127" s="1">
        <v>6</v>
      </c>
      <c r="AG127" s="1">
        <v>6</v>
      </c>
      <c r="AH127" s="1">
        <v>5</v>
      </c>
      <c r="AI127" s="1">
        <v>50</v>
      </c>
      <c r="AJ127" s="1">
        <v>2800</v>
      </c>
      <c r="AL127" s="78">
        <v>1</v>
      </c>
    </row>
    <row r="128" spans="5:38" ht="12.75">
      <c r="E128" s="78">
        <v>6</v>
      </c>
      <c r="F128" s="78">
        <v>1</v>
      </c>
      <c r="H128" s="78">
        <v>6</v>
      </c>
      <c r="I128" s="78">
        <v>2</v>
      </c>
      <c r="K128" s="78" t="s">
        <v>1</v>
      </c>
      <c r="L128" s="1" t="b">
        <v>0</v>
      </c>
      <c r="M128" s="78">
        <f t="shared" si="19"/>
        <v>0</v>
      </c>
      <c r="N128" s="78">
        <v>0</v>
      </c>
      <c r="O128" s="78">
        <v>10</v>
      </c>
      <c r="P128" s="78">
        <v>-10</v>
      </c>
      <c r="Q128" s="78">
        <v>0</v>
      </c>
      <c r="R128" s="78">
        <v>0</v>
      </c>
      <c r="S128" s="78">
        <f>IF(OR(F138=N121,F138=O121,F138=P121,F138=Q121,F138=R121),HLOOKUP(F138,N121:R128,3,FALSE),0)</f>
        <v>0</v>
      </c>
      <c r="T128" s="78">
        <f>IF(OR(F139=N121,F139=O121,F139=P121,F139=Q121,F139=R121),HLOOKUP(F139,N121:R128,3,FALSE),0)</f>
        <v>0</v>
      </c>
      <c r="U128" s="78">
        <f t="shared" si="20"/>
        <v>0</v>
      </c>
      <c r="Z128" s="94" t="s">
        <v>1051</v>
      </c>
      <c r="AA128" s="1"/>
      <c r="AB128" s="1"/>
      <c r="AC128" s="88"/>
      <c r="AD128" s="1"/>
      <c r="AE128" s="1"/>
      <c r="AF128" s="1"/>
      <c r="AG128" s="1"/>
      <c r="AH128" s="1"/>
      <c r="AI128" s="1"/>
      <c r="AJ128" s="1"/>
      <c r="AL128" s="78">
        <v>1</v>
      </c>
    </row>
    <row r="129" spans="5:38" ht="12.75">
      <c r="E129" s="78">
        <v>7</v>
      </c>
      <c r="F129" s="78">
        <v>2</v>
      </c>
      <c r="H129" s="78">
        <v>7</v>
      </c>
      <c r="I129" s="78">
        <v>2</v>
      </c>
      <c r="K129" s="78" t="s">
        <v>36</v>
      </c>
      <c r="L129" s="1" t="b">
        <v>0</v>
      </c>
      <c r="M129" s="78">
        <f t="shared" si="19"/>
        <v>0</v>
      </c>
      <c r="N129" s="78">
        <v>20</v>
      </c>
      <c r="O129" s="78">
        <v>10</v>
      </c>
      <c r="P129" s="78">
        <v>-10</v>
      </c>
      <c r="Q129" s="78">
        <v>0</v>
      </c>
      <c r="R129" s="78">
        <v>-20</v>
      </c>
      <c r="S129" s="78">
        <f>IF(OR(F138=N121,F138=O121,F138=P121,F138=Q121,F138=R121),HLOOKUP(F138,N121:R129,3,FALSE),0)</f>
        <v>0</v>
      </c>
      <c r="T129" s="78">
        <f>IF(OR(F139=N121,F139=O121,F139=P121,F139=Q121,F139=R121),HLOOKUP(F139,N121:R129,3,FALSE),0)</f>
        <v>0</v>
      </c>
      <c r="U129" s="78">
        <f t="shared" si="20"/>
        <v>0</v>
      </c>
      <c r="Z129" s="92" t="s">
        <v>644</v>
      </c>
      <c r="AA129" s="1">
        <v>1</v>
      </c>
      <c r="AB129" s="1">
        <v>15</v>
      </c>
      <c r="AC129" s="88" t="s">
        <v>742</v>
      </c>
      <c r="AD129" s="1">
        <v>25</v>
      </c>
      <c r="AE129" s="1">
        <v>5</v>
      </c>
      <c r="AF129" s="1">
        <v>6</v>
      </c>
      <c r="AG129" s="1" t="s">
        <v>285</v>
      </c>
      <c r="AH129" s="1" t="s">
        <v>285</v>
      </c>
      <c r="AI129" s="1">
        <v>100</v>
      </c>
      <c r="AJ129" s="1">
        <v>150</v>
      </c>
      <c r="AL129" s="78">
        <v>1</v>
      </c>
    </row>
    <row r="130" spans="5:38" ht="12.75">
      <c r="E130" s="78">
        <v>8</v>
      </c>
      <c r="F130" s="78">
        <v>3</v>
      </c>
      <c r="H130" s="78">
        <v>8</v>
      </c>
      <c r="I130" s="78">
        <v>2</v>
      </c>
      <c r="K130" s="78" t="s">
        <v>37</v>
      </c>
      <c r="L130" s="1" t="b">
        <v>0</v>
      </c>
      <c r="M130" s="78">
        <f t="shared" si="19"/>
        <v>0</v>
      </c>
      <c r="N130" s="78">
        <v>20</v>
      </c>
      <c r="O130" s="78">
        <v>10</v>
      </c>
      <c r="P130" s="78">
        <v>-10</v>
      </c>
      <c r="Q130" s="78">
        <v>0</v>
      </c>
      <c r="R130" s="78">
        <v>-20</v>
      </c>
      <c r="S130" s="78">
        <f>IF(OR(F138=N121,F138=O121,F138=P121,F138=Q121,F138=R121),HLOOKUP(F138,N121:R130,3,FALSE),0)</f>
        <v>0</v>
      </c>
      <c r="T130" s="78">
        <f>IF(OR(F139=N121,F139=O121,F139=P121,F139=Q121,F139=R121),HLOOKUP(F139,N121:R130,3,FALSE),0)</f>
        <v>0</v>
      </c>
      <c r="U130" s="78">
        <f t="shared" si="20"/>
        <v>0</v>
      </c>
      <c r="Z130" s="92" t="s">
        <v>645</v>
      </c>
      <c r="AA130" s="1">
        <v>5</v>
      </c>
      <c r="AB130" s="1">
        <v>11</v>
      </c>
      <c r="AC130" s="88" t="s">
        <v>746</v>
      </c>
      <c r="AD130" s="1">
        <v>20</v>
      </c>
      <c r="AE130" s="1">
        <v>5</v>
      </c>
      <c r="AF130" s="1">
        <v>6</v>
      </c>
      <c r="AG130" s="1" t="s">
        <v>285</v>
      </c>
      <c r="AH130" s="1" t="s">
        <v>285</v>
      </c>
      <c r="AI130" s="1">
        <v>1</v>
      </c>
      <c r="AJ130" s="1">
        <v>200</v>
      </c>
      <c r="AL130" s="78">
        <v>1</v>
      </c>
    </row>
    <row r="131" spans="5:38" ht="12.75">
      <c r="E131" s="78">
        <v>9</v>
      </c>
      <c r="F131" s="78">
        <v>4</v>
      </c>
      <c r="H131" s="78">
        <v>9</v>
      </c>
      <c r="I131" s="78">
        <v>3</v>
      </c>
      <c r="K131" s="78" t="s">
        <v>2</v>
      </c>
      <c r="L131" s="1" t="b">
        <v>0</v>
      </c>
      <c r="M131" s="78">
        <f t="shared" si="19"/>
        <v>0</v>
      </c>
      <c r="N131" s="78">
        <v>0</v>
      </c>
      <c r="O131" s="78">
        <v>10</v>
      </c>
      <c r="P131" s="78">
        <v>-10</v>
      </c>
      <c r="Q131" s="78">
        <v>0</v>
      </c>
      <c r="R131" s="78">
        <v>0</v>
      </c>
      <c r="S131" s="78">
        <f>IF(OR(F138=N121,F138=O121,F138=P121,F138=Q121,F138=R121),HLOOKUP(F138,N121:R131,3,FALSE),0)</f>
        <v>0</v>
      </c>
      <c r="T131" s="78">
        <f>IF(OR(F139=N121,F139=O121,F139=P121,F139=Q121,F139=R121),HLOOKUP(F139,N121:R131,3,FALSE),0)</f>
        <v>0</v>
      </c>
      <c r="U131" s="78">
        <f t="shared" si="20"/>
        <v>0</v>
      </c>
      <c r="Z131" s="92" t="s">
        <v>398</v>
      </c>
      <c r="AA131" s="1">
        <v>3</v>
      </c>
      <c r="AB131" s="1">
        <v>8</v>
      </c>
      <c r="AC131" s="88" t="s">
        <v>744</v>
      </c>
      <c r="AD131" s="1">
        <v>30</v>
      </c>
      <c r="AE131" s="1">
        <v>5</v>
      </c>
      <c r="AF131" s="1">
        <v>6</v>
      </c>
      <c r="AG131" s="1" t="s">
        <v>285</v>
      </c>
      <c r="AH131" s="1" t="s">
        <v>285</v>
      </c>
      <c r="AI131" s="1">
        <v>1</v>
      </c>
      <c r="AJ131" s="1">
        <v>300</v>
      </c>
      <c r="AL131" s="78">
        <v>1</v>
      </c>
    </row>
    <row r="132" spans="5:38" ht="12.75">
      <c r="E132" s="78">
        <v>10</v>
      </c>
      <c r="F132" s="78">
        <v>5</v>
      </c>
      <c r="H132" s="78">
        <v>10</v>
      </c>
      <c r="I132" s="78">
        <v>3</v>
      </c>
      <c r="K132" s="78" t="s">
        <v>38</v>
      </c>
      <c r="L132" s="1" t="b">
        <v>0</v>
      </c>
      <c r="M132" s="78">
        <f t="shared" si="19"/>
        <v>0</v>
      </c>
      <c r="N132" s="78">
        <v>0</v>
      </c>
      <c r="O132" s="78">
        <v>10</v>
      </c>
      <c r="P132" s="78">
        <v>-10</v>
      </c>
      <c r="Q132" s="78">
        <v>15</v>
      </c>
      <c r="R132" s="78">
        <v>-20</v>
      </c>
      <c r="S132" s="78">
        <f>IF(OR(F138=N121,F138=O121,F138=P121,F138=Q121,F138=R121),HLOOKUP(F138,N121:R132,3,FALSE),0)</f>
        <v>0</v>
      </c>
      <c r="T132" s="78">
        <f>IF(OR(F139=N121,F139=O121,F139=P121,F139=Q121,F139=R121),HLOOKUP(F139,N121:R132,3,FALSE),0)</f>
        <v>0</v>
      </c>
      <c r="U132" s="78">
        <f t="shared" si="20"/>
        <v>0</v>
      </c>
      <c r="Z132" s="92" t="s">
        <v>646</v>
      </c>
      <c r="AA132" s="1">
        <v>4</v>
      </c>
      <c r="AB132" s="1">
        <v>6</v>
      </c>
      <c r="AC132" s="88" t="s">
        <v>754</v>
      </c>
      <c r="AD132" s="1">
        <v>40</v>
      </c>
      <c r="AE132" s="1">
        <v>5</v>
      </c>
      <c r="AF132" s="1">
        <v>6</v>
      </c>
      <c r="AG132" s="1" t="s">
        <v>285</v>
      </c>
      <c r="AH132" s="1" t="s">
        <v>285</v>
      </c>
      <c r="AI132" s="1">
        <v>8</v>
      </c>
      <c r="AJ132" s="1">
        <v>800</v>
      </c>
      <c r="AL132" s="78">
        <v>1</v>
      </c>
    </row>
    <row r="133" spans="5:38" ht="12.75">
      <c r="E133" s="78">
        <v>11</v>
      </c>
      <c r="F133" s="78">
        <v>5</v>
      </c>
      <c r="H133" s="78">
        <v>11</v>
      </c>
      <c r="I133" s="78">
        <v>3</v>
      </c>
      <c r="K133" s="78" t="s">
        <v>3</v>
      </c>
      <c r="L133" s="1" t="b">
        <v>0</v>
      </c>
      <c r="M133" s="78">
        <f t="shared" si="19"/>
        <v>0</v>
      </c>
      <c r="N133" s="78">
        <v>0</v>
      </c>
      <c r="O133" s="78">
        <v>10</v>
      </c>
      <c r="P133" s="78">
        <v>-10</v>
      </c>
      <c r="Q133" s="78">
        <v>0</v>
      </c>
      <c r="R133" s="78">
        <v>0</v>
      </c>
      <c r="S133" s="78">
        <f>IF(OR(F138=N121,F138=O121,F138=P121,F138=Q121,F138=R121),HLOOKUP(F138,N121:R133,3,FALSE),0)</f>
        <v>0</v>
      </c>
      <c r="T133" s="78">
        <f>IF(OR(F139=N121,F139=O121,F139=P121,F139=Q121,F139=R121),HLOOKUP(F139,N121:R133,3,FALSE),0)</f>
        <v>0</v>
      </c>
      <c r="U133" s="78">
        <f t="shared" si="20"/>
        <v>0</v>
      </c>
      <c r="Z133" s="92" t="s">
        <v>647</v>
      </c>
      <c r="AA133" s="1">
        <v>4</v>
      </c>
      <c r="AB133" s="1">
        <v>7</v>
      </c>
      <c r="AC133" s="88" t="s">
        <v>756</v>
      </c>
      <c r="AD133" s="1">
        <v>20</v>
      </c>
      <c r="AE133" s="1">
        <v>5</v>
      </c>
      <c r="AF133" s="1">
        <v>6</v>
      </c>
      <c r="AG133" s="1" t="s">
        <v>285</v>
      </c>
      <c r="AH133" s="1" t="s">
        <v>285</v>
      </c>
      <c r="AI133" s="1">
        <v>10</v>
      </c>
      <c r="AJ133" s="1">
        <v>500</v>
      </c>
      <c r="AL133" s="78">
        <v>1</v>
      </c>
    </row>
    <row r="134" spans="5:38" ht="12.75">
      <c r="E134" s="78">
        <v>12</v>
      </c>
      <c r="F134" s="78">
        <v>5</v>
      </c>
      <c r="H134" s="78">
        <v>12</v>
      </c>
      <c r="I134" s="78">
        <v>3</v>
      </c>
      <c r="K134" s="78" t="s">
        <v>4</v>
      </c>
      <c r="L134" s="1" t="b">
        <v>0</v>
      </c>
      <c r="M134" s="78">
        <f t="shared" si="19"/>
        <v>0</v>
      </c>
      <c r="N134" s="78">
        <v>0</v>
      </c>
      <c r="O134" s="78">
        <v>10</v>
      </c>
      <c r="P134" s="78">
        <v>-10</v>
      </c>
      <c r="Q134" s="78">
        <v>0</v>
      </c>
      <c r="R134" s="78">
        <v>0</v>
      </c>
      <c r="S134" s="78">
        <f>IF(OR(F138=N121,F138=O121,F138=P121,F138=Q121,F138=R121),HLOOKUP(F138,N121:R134,3,FALSE),0)</f>
        <v>0</v>
      </c>
      <c r="T134" s="78">
        <f>IF(OR(F139=N121,F139=O121,F139=P121,F139=Q121,F139=R121),HLOOKUP(F139,N121:R134,3,FALSE),0)</f>
        <v>0</v>
      </c>
      <c r="U134" s="78">
        <f t="shared" si="20"/>
        <v>0</v>
      </c>
      <c r="Z134" s="92" t="s">
        <v>648</v>
      </c>
      <c r="AA134" s="1">
        <v>5</v>
      </c>
      <c r="AB134" s="1">
        <v>11</v>
      </c>
      <c r="AC134" s="88" t="s">
        <v>756</v>
      </c>
      <c r="AD134" s="1">
        <v>40</v>
      </c>
      <c r="AE134" s="1">
        <v>5</v>
      </c>
      <c r="AF134" s="1">
        <v>6</v>
      </c>
      <c r="AG134" s="1" t="s">
        <v>285</v>
      </c>
      <c r="AH134" s="1" t="s">
        <v>285</v>
      </c>
      <c r="AI134" s="1">
        <v>10</v>
      </c>
      <c r="AJ134" s="1">
        <v>1000</v>
      </c>
      <c r="AL134" s="78">
        <v>1</v>
      </c>
    </row>
    <row r="135" spans="5:38" ht="12.75">
      <c r="E135" s="78">
        <v>13</v>
      </c>
      <c r="F135" s="78">
        <v>5</v>
      </c>
      <c r="H135" s="78">
        <v>13</v>
      </c>
      <c r="I135" s="78">
        <v>3</v>
      </c>
      <c r="K135" s="78" t="s">
        <v>39</v>
      </c>
      <c r="L135" s="1" t="b">
        <v>0</v>
      </c>
      <c r="M135" s="78">
        <f t="shared" si="19"/>
        <v>0</v>
      </c>
      <c r="N135" s="78">
        <v>0</v>
      </c>
      <c r="O135" s="78">
        <v>10</v>
      </c>
      <c r="P135" s="78">
        <v>-10</v>
      </c>
      <c r="Q135" s="78">
        <v>15</v>
      </c>
      <c r="R135" s="78">
        <v>-20</v>
      </c>
      <c r="S135" s="78">
        <f>IF(OR(F138=N121,F138=O121,F138=P121,F138=Q121,F138=R121),HLOOKUP(F138,N121:R135,3,FALSE),0)</f>
        <v>0</v>
      </c>
      <c r="T135" s="78">
        <f>IF(OR(F139=N121,F139=O121,F139=P121,F139=Q121,F139=R121),HLOOKUP(F139,N121:R135,3,FALSE),0)</f>
        <v>0</v>
      </c>
      <c r="U135" s="78">
        <f t="shared" si="20"/>
        <v>0</v>
      </c>
      <c r="Z135" s="92" t="s">
        <v>649</v>
      </c>
      <c r="AA135" s="1">
        <v>5</v>
      </c>
      <c r="AB135" s="1">
        <v>11</v>
      </c>
      <c r="AC135" s="88" t="s">
        <v>749</v>
      </c>
      <c r="AD135" s="1">
        <v>35</v>
      </c>
      <c r="AE135" s="1">
        <v>5</v>
      </c>
      <c r="AF135" s="1">
        <v>6</v>
      </c>
      <c r="AG135" s="1" t="s">
        <v>285</v>
      </c>
      <c r="AH135" s="1" t="s">
        <v>285</v>
      </c>
      <c r="AI135" s="1">
        <v>10</v>
      </c>
      <c r="AJ135" s="1">
        <v>1100</v>
      </c>
      <c r="AL135" s="78">
        <v>1</v>
      </c>
    </row>
    <row r="136" spans="5:38" ht="12.75">
      <c r="E136" s="78">
        <v>14</v>
      </c>
      <c r="F136" s="78">
        <v>5</v>
      </c>
      <c r="K136" s="78" t="s">
        <v>5</v>
      </c>
      <c r="L136" s="1" t="b">
        <v>0</v>
      </c>
      <c r="M136" s="78">
        <f t="shared" si="19"/>
        <v>0</v>
      </c>
      <c r="N136" s="78">
        <v>0</v>
      </c>
      <c r="O136" s="78">
        <v>10</v>
      </c>
      <c r="P136" s="78">
        <v>-10</v>
      </c>
      <c r="Q136" s="78">
        <v>15</v>
      </c>
      <c r="R136" s="78">
        <v>-20</v>
      </c>
      <c r="S136" s="78">
        <f>IF(OR(F138=N121,F138=O121,F138=P121,F138=Q121,F138=R121),HLOOKUP(F138,N121:R136,3,FALSE),0)</f>
        <v>0</v>
      </c>
      <c r="T136" s="78">
        <f>IF(OR(F139=N121,F139=O121,F139=P121,F139=Q121,F139=R121),HLOOKUP(F139,N121:R136,3,FALSE),0)</f>
        <v>0</v>
      </c>
      <c r="U136" s="78">
        <f t="shared" si="20"/>
        <v>0</v>
      </c>
      <c r="Z136" s="92" t="s">
        <v>650</v>
      </c>
      <c r="AA136" s="1">
        <v>4</v>
      </c>
      <c r="AB136" s="1">
        <v>10</v>
      </c>
      <c r="AC136" s="88" t="s">
        <v>742</v>
      </c>
      <c r="AD136" s="1">
        <v>30</v>
      </c>
      <c r="AE136" s="1">
        <v>5</v>
      </c>
      <c r="AF136" s="1">
        <v>6</v>
      </c>
      <c r="AG136" s="1" t="s">
        <v>285</v>
      </c>
      <c r="AH136" s="1" t="s">
        <v>285</v>
      </c>
      <c r="AI136" s="1">
        <v>1</v>
      </c>
      <c r="AJ136" s="1">
        <v>1400</v>
      </c>
      <c r="AL136" s="78">
        <v>1</v>
      </c>
    </row>
    <row r="137" spans="11:38" ht="12.75">
      <c r="K137" s="78" t="s">
        <v>9</v>
      </c>
      <c r="L137" s="1" t="b">
        <v>0</v>
      </c>
      <c r="M137" s="78">
        <f t="shared" si="19"/>
        <v>0</v>
      </c>
      <c r="N137" s="78">
        <v>0</v>
      </c>
      <c r="O137" s="78">
        <v>10</v>
      </c>
      <c r="P137" s="78">
        <v>-10</v>
      </c>
      <c r="Q137" s="78">
        <v>0</v>
      </c>
      <c r="R137" s="78">
        <v>0</v>
      </c>
      <c r="S137" s="78">
        <f>IF(OR(F138=N121,F138=O121,F138=P121,F138=Q121,F138=R121),HLOOKUP(F138,N121:R137,3,FALSE),0)</f>
        <v>0</v>
      </c>
      <c r="T137" s="78">
        <f>IF(OR(F139=N121,F139=O121,F139=P121,F139=Q121,F139=R121),HLOOKUP(F139,N121:R137,3,FALSE),0)</f>
        <v>0</v>
      </c>
      <c r="U137" s="78">
        <f t="shared" si="20"/>
        <v>0</v>
      </c>
      <c r="Z137" s="92" t="s">
        <v>651</v>
      </c>
      <c r="AA137" s="1">
        <v>5</v>
      </c>
      <c r="AB137" s="1">
        <v>10</v>
      </c>
      <c r="AC137" s="88" t="s">
        <v>759</v>
      </c>
      <c r="AD137" s="1">
        <v>50</v>
      </c>
      <c r="AE137" s="1">
        <v>6</v>
      </c>
      <c r="AF137" s="1">
        <v>7</v>
      </c>
      <c r="AG137" s="1" t="s">
        <v>285</v>
      </c>
      <c r="AH137" s="1" t="s">
        <v>285</v>
      </c>
      <c r="AI137" s="1">
        <v>6</v>
      </c>
      <c r="AJ137" s="1">
        <v>2200</v>
      </c>
      <c r="AL137" s="78">
        <v>1</v>
      </c>
    </row>
    <row r="138" spans="5:38" ht="12.75">
      <c r="E138" s="78" t="s">
        <v>149</v>
      </c>
      <c r="F138" s="78">
        <v>1</v>
      </c>
      <c r="H138" s="78">
        <v>5</v>
      </c>
      <c r="K138" s="78" t="s">
        <v>6</v>
      </c>
      <c r="L138" s="1" t="b">
        <v>0</v>
      </c>
      <c r="M138" s="78">
        <f t="shared" si="19"/>
        <v>0</v>
      </c>
      <c r="N138" s="78">
        <v>20</v>
      </c>
      <c r="O138" s="78">
        <v>10</v>
      </c>
      <c r="P138" s="78">
        <v>-10</v>
      </c>
      <c r="Q138" s="78">
        <v>0</v>
      </c>
      <c r="R138" s="78">
        <v>0</v>
      </c>
      <c r="S138" s="78">
        <f>IF(OR(F138=N121,F138=O121,F138=P121,F138=Q121,F138=R121),HLOOKUP(F138,N121:R138,3,FALSE),0)</f>
        <v>0</v>
      </c>
      <c r="T138" s="78">
        <f>IF(OR(F139=N121,F139=O121,F139=P121,F139=Q121,F139=R121),HLOOKUP(F139,N121:R138,3,FALSE),0)</f>
        <v>0</v>
      </c>
      <c r="U138" s="78">
        <f t="shared" si="20"/>
        <v>0</v>
      </c>
      <c r="Z138" s="92" t="s">
        <v>652</v>
      </c>
      <c r="AA138" s="1">
        <v>5</v>
      </c>
      <c r="AB138" s="1">
        <v>15</v>
      </c>
      <c r="AC138" s="88" t="s">
        <v>759</v>
      </c>
      <c r="AD138" s="1">
        <v>75</v>
      </c>
      <c r="AE138" s="1">
        <v>5</v>
      </c>
      <c r="AF138" s="1">
        <v>6</v>
      </c>
      <c r="AG138" s="1" t="s">
        <v>285</v>
      </c>
      <c r="AH138" s="1" t="s">
        <v>285</v>
      </c>
      <c r="AI138" s="1">
        <v>10</v>
      </c>
      <c r="AJ138" s="1">
        <v>2400</v>
      </c>
      <c r="AL138" s="78">
        <v>1</v>
      </c>
    </row>
    <row r="139" spans="5:38" ht="12.75">
      <c r="E139" s="78" t="s">
        <v>150</v>
      </c>
      <c r="F139" s="78">
        <v>1</v>
      </c>
      <c r="H139" s="78">
        <f>SUM(Игрок1!K136,Игрок1!K138,Игрок1!K140,Игрок1!K142,Игрок1!K144,Игрок1!K146,Игрок1!K148)</f>
        <v>0</v>
      </c>
      <c r="K139" s="78" t="s">
        <v>7</v>
      </c>
      <c r="L139" s="1" t="b">
        <v>0</v>
      </c>
      <c r="M139" s="78">
        <f t="shared" si="19"/>
        <v>0</v>
      </c>
      <c r="N139" s="78">
        <v>20</v>
      </c>
      <c r="O139" s="78">
        <v>10</v>
      </c>
      <c r="P139" s="78">
        <v>-10</v>
      </c>
      <c r="Q139" s="78">
        <v>0</v>
      </c>
      <c r="R139" s="78">
        <v>0</v>
      </c>
      <c r="S139" s="78">
        <f>IF(OR(F138=N121,F138=O121,F138=P121,F138=Q121,F138=R121),HLOOKUP(F138,N121:R139,3,FALSE),0)</f>
        <v>0</v>
      </c>
      <c r="T139" s="78">
        <f>IF(OR(F139=N121,F139=O121,F139=P121,F139=Q121,F139=R121),HLOOKUP(F139,N121:R139,3,FALSE),0)</f>
        <v>0</v>
      </c>
      <c r="U139" s="78">
        <f t="shared" si="20"/>
        <v>0</v>
      </c>
      <c r="Z139" s="92" t="s">
        <v>653</v>
      </c>
      <c r="AA139" s="1">
        <v>5</v>
      </c>
      <c r="AB139" s="1">
        <v>15</v>
      </c>
      <c r="AC139" s="88" t="s">
        <v>759</v>
      </c>
      <c r="AD139" s="1">
        <v>120</v>
      </c>
      <c r="AE139" s="1">
        <v>4</v>
      </c>
      <c r="AF139" s="1">
        <v>5</v>
      </c>
      <c r="AG139" s="1" t="s">
        <v>285</v>
      </c>
      <c r="AH139" s="1" t="s">
        <v>285</v>
      </c>
      <c r="AI139" s="1">
        <v>20</v>
      </c>
      <c r="AJ139" s="1">
        <v>2500</v>
      </c>
      <c r="AL139" s="78">
        <v>1</v>
      </c>
    </row>
    <row r="140" spans="11:38" ht="12.75">
      <c r="K140" s="78" t="s">
        <v>40</v>
      </c>
      <c r="L140" s="1" t="b">
        <v>0</v>
      </c>
      <c r="M140" s="78">
        <f t="shared" si="19"/>
        <v>0</v>
      </c>
      <c r="N140" s="78">
        <v>0</v>
      </c>
      <c r="O140" s="78">
        <v>10</v>
      </c>
      <c r="P140" s="78">
        <v>-10</v>
      </c>
      <c r="Q140" s="78">
        <v>0</v>
      </c>
      <c r="R140" s="78">
        <v>0</v>
      </c>
      <c r="S140" s="78">
        <f>IF(OR(F138=N121,F138=O121,F138=P121,F138=Q121,F138=R121),HLOOKUP(F138,N121:R140,3,FALSE),0)</f>
        <v>0</v>
      </c>
      <c r="T140" s="78">
        <f>IF(OR(F139=N121,F139=O121,F139=P121,F139=Q121,F139=R121),HLOOKUP(F139,N121:R140,3,FALSE),0)</f>
        <v>0</v>
      </c>
      <c r="U140" s="78">
        <f t="shared" si="20"/>
        <v>0</v>
      </c>
      <c r="Z140" s="92" t="s">
        <v>654</v>
      </c>
      <c r="AA140" s="1">
        <v>6</v>
      </c>
      <c r="AB140" s="1">
        <v>13</v>
      </c>
      <c r="AC140" s="88" t="s">
        <v>764</v>
      </c>
      <c r="AD140" s="1">
        <v>45</v>
      </c>
      <c r="AE140" s="1">
        <v>5</v>
      </c>
      <c r="AF140" s="1">
        <v>6</v>
      </c>
      <c r="AG140" s="1">
        <v>6</v>
      </c>
      <c r="AH140" s="1">
        <v>5</v>
      </c>
      <c r="AI140" s="1">
        <v>20</v>
      </c>
      <c r="AJ140" s="1">
        <v>2600</v>
      </c>
      <c r="AL140" s="78">
        <v>1</v>
      </c>
    </row>
    <row r="141" spans="11:38" ht="12.75">
      <c r="K141" s="78" t="s">
        <v>41</v>
      </c>
      <c r="L141" s="1" t="b">
        <v>0</v>
      </c>
      <c r="M141" s="78">
        <f t="shared" si="19"/>
        <v>0</v>
      </c>
      <c r="N141" s="78">
        <v>0</v>
      </c>
      <c r="O141" s="78">
        <v>10</v>
      </c>
      <c r="P141" s="78">
        <v>-10</v>
      </c>
      <c r="Q141" s="78">
        <v>0</v>
      </c>
      <c r="R141" s="78">
        <v>0</v>
      </c>
      <c r="S141" s="78">
        <f>IF(OR(F138=N121,F138=O121,F138=P121,F138=Q121,F138=R121),HLOOKUP(F138,N121:R141,3,FALSE),0)</f>
        <v>0</v>
      </c>
      <c r="T141" s="78">
        <f>IF(OR(F139=N121,F139=O121,F139=P121,F139=Q121,F139=R121),HLOOKUP(F139,N121:R141,3,FALSE),0)</f>
        <v>0</v>
      </c>
      <c r="U141" s="78">
        <f t="shared" si="20"/>
        <v>0</v>
      </c>
      <c r="Z141" s="92" t="s">
        <v>655</v>
      </c>
      <c r="AA141" s="1">
        <v>5</v>
      </c>
      <c r="AB141" s="1">
        <v>15</v>
      </c>
      <c r="AC141" s="88" t="s">
        <v>289</v>
      </c>
      <c r="AD141" s="1">
        <v>32</v>
      </c>
      <c r="AE141" s="1">
        <v>5</v>
      </c>
      <c r="AF141" s="1">
        <v>6</v>
      </c>
      <c r="AG141" s="1" t="s">
        <v>285</v>
      </c>
      <c r="AH141" s="1" t="s">
        <v>285</v>
      </c>
      <c r="AI141" s="1">
        <v>100</v>
      </c>
      <c r="AJ141" s="1">
        <v>3500</v>
      </c>
      <c r="AL141" s="78">
        <v>1</v>
      </c>
    </row>
    <row r="142" spans="26:38" ht="12.75">
      <c r="Z142" s="92" t="s">
        <v>656</v>
      </c>
      <c r="AA142" s="1">
        <v>6</v>
      </c>
      <c r="AB142" s="1">
        <v>10</v>
      </c>
      <c r="AC142" s="88" t="s">
        <v>765</v>
      </c>
      <c r="AD142" s="1">
        <v>50</v>
      </c>
      <c r="AE142" s="1">
        <v>5</v>
      </c>
      <c r="AF142" s="1">
        <v>6</v>
      </c>
      <c r="AG142" s="1" t="s">
        <v>285</v>
      </c>
      <c r="AH142" s="1" t="s">
        <v>285</v>
      </c>
      <c r="AI142" s="1">
        <v>20</v>
      </c>
      <c r="AJ142" s="1">
        <v>8250</v>
      </c>
      <c r="AL142" s="78">
        <v>1</v>
      </c>
    </row>
    <row r="143" spans="26:38" ht="12.75">
      <c r="Z143" s="94" t="s">
        <v>1052</v>
      </c>
      <c r="AA143" s="1"/>
      <c r="AB143" s="1"/>
      <c r="AC143" s="88"/>
      <c r="AD143" s="1"/>
      <c r="AE143" s="1"/>
      <c r="AF143" s="1"/>
      <c r="AG143" s="1"/>
      <c r="AH143" s="1"/>
      <c r="AI143" s="1"/>
      <c r="AJ143" s="1"/>
      <c r="AL143" s="78">
        <v>1</v>
      </c>
    </row>
    <row r="144" spans="26:38" ht="12.75">
      <c r="Z144" s="92" t="s">
        <v>657</v>
      </c>
      <c r="AA144" s="1">
        <v>8</v>
      </c>
      <c r="AB144" s="1">
        <v>7</v>
      </c>
      <c r="AC144" s="88" t="s">
        <v>749</v>
      </c>
      <c r="AD144" s="1">
        <v>40</v>
      </c>
      <c r="AE144" s="1">
        <v>5</v>
      </c>
      <c r="AF144" s="1">
        <v>6</v>
      </c>
      <c r="AG144" s="1">
        <v>6</v>
      </c>
      <c r="AH144" s="1">
        <v>8</v>
      </c>
      <c r="AI144" s="1">
        <v>20</v>
      </c>
      <c r="AJ144" s="1">
        <v>1000</v>
      </c>
      <c r="AL144" s="78">
        <v>1</v>
      </c>
    </row>
    <row r="145" spans="26:38" ht="12.75">
      <c r="Z145" s="92" t="s">
        <v>658</v>
      </c>
      <c r="AA145" s="1">
        <v>6</v>
      </c>
      <c r="AB145" s="1">
        <v>25</v>
      </c>
      <c r="AC145" s="88" t="s">
        <v>754</v>
      </c>
      <c r="AD145" s="1">
        <v>35</v>
      </c>
      <c r="AE145" s="1">
        <v>5</v>
      </c>
      <c r="AF145" s="1">
        <v>6</v>
      </c>
      <c r="AG145" s="1">
        <v>6</v>
      </c>
      <c r="AH145" s="1">
        <v>3</v>
      </c>
      <c r="AI145" s="1">
        <v>20</v>
      </c>
      <c r="AJ145" s="1">
        <v>1000</v>
      </c>
      <c r="AL145" s="78">
        <v>1</v>
      </c>
    </row>
    <row r="146" spans="26:38" ht="12.75">
      <c r="Z146" s="92" t="s">
        <v>659</v>
      </c>
      <c r="AA146" s="1">
        <v>5</v>
      </c>
      <c r="AB146" s="1">
        <v>7</v>
      </c>
      <c r="AC146" s="88" t="s">
        <v>759</v>
      </c>
      <c r="AD146" s="1">
        <v>35</v>
      </c>
      <c r="AE146" s="1">
        <v>5</v>
      </c>
      <c r="AF146" s="1">
        <v>6</v>
      </c>
      <c r="AG146" s="1">
        <v>6</v>
      </c>
      <c r="AH146" s="1">
        <v>5</v>
      </c>
      <c r="AI146" s="1">
        <v>24</v>
      </c>
      <c r="AJ146" s="1">
        <v>1000</v>
      </c>
      <c r="AL146" s="78">
        <v>1</v>
      </c>
    </row>
    <row r="147" spans="26:38" ht="12.75">
      <c r="Z147" s="92" t="s">
        <v>660</v>
      </c>
      <c r="AA147" s="1">
        <v>5</v>
      </c>
      <c r="AB147" s="1">
        <v>8</v>
      </c>
      <c r="AC147" s="88" t="s">
        <v>749</v>
      </c>
      <c r="AD147" s="1">
        <v>45</v>
      </c>
      <c r="AE147" s="1">
        <v>5</v>
      </c>
      <c r="AF147" s="1">
        <v>6</v>
      </c>
      <c r="AG147" s="1">
        <v>6</v>
      </c>
      <c r="AH147" s="1">
        <v>12</v>
      </c>
      <c r="AI147" s="1">
        <v>24</v>
      </c>
      <c r="AJ147" s="1">
        <v>1300</v>
      </c>
      <c r="AL147" s="78">
        <v>1</v>
      </c>
    </row>
    <row r="148" spans="14:38" ht="12.75">
      <c r="N148" s="78">
        <v>12</v>
      </c>
      <c r="O148" s="1">
        <v>16</v>
      </c>
      <c r="P148" s="89">
        <v>17</v>
      </c>
      <c r="Q148" s="89">
        <v>20</v>
      </c>
      <c r="R148" s="1">
        <v>23</v>
      </c>
      <c r="Z148" s="92" t="s">
        <v>661</v>
      </c>
      <c r="AA148" s="1">
        <v>5</v>
      </c>
      <c r="AB148" s="1">
        <v>12</v>
      </c>
      <c r="AC148" s="88" t="s">
        <v>751</v>
      </c>
      <c r="AD148" s="1">
        <v>45</v>
      </c>
      <c r="AE148" s="1">
        <v>5</v>
      </c>
      <c r="AF148" s="1">
        <v>6</v>
      </c>
      <c r="AG148" s="1">
        <v>6</v>
      </c>
      <c r="AH148" s="1">
        <v>8</v>
      </c>
      <c r="AI148" s="1">
        <v>30</v>
      </c>
      <c r="AJ148" s="1">
        <v>1400</v>
      </c>
      <c r="AL148" s="78">
        <v>1</v>
      </c>
    </row>
    <row r="149" spans="4:38" ht="12.75">
      <c r="D149" s="78" t="s">
        <v>141</v>
      </c>
      <c r="E149" s="1" t="s">
        <v>114</v>
      </c>
      <c r="F149" s="1" t="s">
        <v>129</v>
      </c>
      <c r="G149" s="2" t="s">
        <v>142</v>
      </c>
      <c r="H149" s="1" t="s">
        <v>116</v>
      </c>
      <c r="I149" s="1" t="s">
        <v>152</v>
      </c>
      <c r="K149" s="1" t="s">
        <v>73</v>
      </c>
      <c r="L149" s="84" t="s">
        <v>93</v>
      </c>
      <c r="M149" s="1" t="s">
        <v>153</v>
      </c>
      <c r="N149" s="1" t="s">
        <v>166</v>
      </c>
      <c r="O149" s="1" t="s">
        <v>170</v>
      </c>
      <c r="P149" s="1" t="s">
        <v>171</v>
      </c>
      <c r="Q149" s="1" t="s">
        <v>54</v>
      </c>
      <c r="R149" s="1" t="s">
        <v>55</v>
      </c>
      <c r="S149" s="1" t="s">
        <v>215</v>
      </c>
      <c r="T149" s="1" t="s">
        <v>216</v>
      </c>
      <c r="U149" s="1" t="s">
        <v>75</v>
      </c>
      <c r="Z149" s="92" t="s">
        <v>662</v>
      </c>
      <c r="AA149" s="1">
        <v>5</v>
      </c>
      <c r="AB149" s="1">
        <v>11</v>
      </c>
      <c r="AC149" s="88" t="s">
        <v>749</v>
      </c>
      <c r="AD149" s="1">
        <v>35</v>
      </c>
      <c r="AE149" s="1">
        <v>5</v>
      </c>
      <c r="AF149" s="1">
        <v>6</v>
      </c>
      <c r="AG149" s="1">
        <v>6</v>
      </c>
      <c r="AH149" s="1">
        <v>10</v>
      </c>
      <c r="AI149" s="1">
        <v>20</v>
      </c>
      <c r="AJ149" s="1">
        <v>1500</v>
      </c>
      <c r="AL149" s="78">
        <v>1</v>
      </c>
    </row>
    <row r="150" spans="5:38" ht="12.75">
      <c r="E150" s="78">
        <v>1</v>
      </c>
      <c r="F150" s="78">
        <v>1</v>
      </c>
      <c r="H150" s="78">
        <v>1</v>
      </c>
      <c r="I150" s="78">
        <v>1</v>
      </c>
      <c r="K150" s="78" t="s">
        <v>32</v>
      </c>
      <c r="L150" s="1" t="b">
        <v>0</v>
      </c>
      <c r="M150" s="78">
        <f>IF(L150=TRUE,20,0)</f>
        <v>0</v>
      </c>
      <c r="N150" s="78">
        <v>-10</v>
      </c>
      <c r="O150" s="78">
        <v>10</v>
      </c>
      <c r="P150" s="78">
        <v>-10</v>
      </c>
      <c r="Q150" s="78">
        <v>0</v>
      </c>
      <c r="R150" s="78">
        <v>-20</v>
      </c>
      <c r="S150" s="78">
        <f>IF(OR(F165=N148,F165=O148,F165=P148,F165=Q148,F165=R148),HLOOKUP(F165,N148:R150,3,FALSE),0)</f>
        <v>0</v>
      </c>
      <c r="T150" s="78">
        <f>IF(OR(F166=N148,F166=O148,F166=P148,F166=Q148,F166=R148),HLOOKUP(F166,N148:R150,3,FALSE),0)</f>
        <v>0</v>
      </c>
      <c r="U150" s="78">
        <f>SUM(S150:T150)</f>
        <v>0</v>
      </c>
      <c r="Z150" s="92" t="s">
        <v>663</v>
      </c>
      <c r="AA150" s="1">
        <v>5</v>
      </c>
      <c r="AB150" s="1">
        <v>14</v>
      </c>
      <c r="AC150" s="88" t="s">
        <v>751</v>
      </c>
      <c r="AD150" s="1">
        <v>45</v>
      </c>
      <c r="AE150" s="1">
        <v>5</v>
      </c>
      <c r="AF150" s="1">
        <v>6</v>
      </c>
      <c r="AG150" s="1">
        <v>6</v>
      </c>
      <c r="AH150" s="1">
        <v>5</v>
      </c>
      <c r="AI150" s="1">
        <v>30</v>
      </c>
      <c r="AJ150" s="1">
        <v>1600</v>
      </c>
      <c r="AL150" s="78">
        <v>1</v>
      </c>
    </row>
    <row r="151" spans="5:38" ht="12.75">
      <c r="E151" s="78">
        <v>2</v>
      </c>
      <c r="F151" s="78">
        <v>1</v>
      </c>
      <c r="H151" s="78">
        <v>2</v>
      </c>
      <c r="I151" s="78">
        <v>1</v>
      </c>
      <c r="K151" s="78" t="s">
        <v>33</v>
      </c>
      <c r="L151" s="1" t="b">
        <v>0</v>
      </c>
      <c r="M151" s="78">
        <f aca="true" t="shared" si="21" ref="M151:M168">IF(L151=TRUE,20,0)</f>
        <v>0</v>
      </c>
      <c r="N151" s="78">
        <v>-10</v>
      </c>
      <c r="O151" s="78">
        <v>10</v>
      </c>
      <c r="P151" s="78">
        <v>-10</v>
      </c>
      <c r="Q151" s="78">
        <v>0</v>
      </c>
      <c r="R151" s="78">
        <v>0</v>
      </c>
      <c r="S151" s="78">
        <f>IF(OR(F165=N148,F165=O148,F165=P148,F165=Q148,F165=R148),HLOOKUP(F165,N148:R151,3,FALSE),0)</f>
        <v>0</v>
      </c>
      <c r="T151" s="78">
        <f>IF(OR(F166=N148,F166=O148,F166=P148,F166=Q148,F166=R148),HLOOKUP(F166,N148:R151,3,FALSE),0)</f>
        <v>0</v>
      </c>
      <c r="U151" s="78">
        <f aca="true" t="shared" si="22" ref="U151:U168">SUM(S151:T151)</f>
        <v>0</v>
      </c>
      <c r="Z151" s="92" t="s">
        <v>665</v>
      </c>
      <c r="AA151" s="1">
        <v>6</v>
      </c>
      <c r="AB151" s="1">
        <v>15</v>
      </c>
      <c r="AC151" s="88" t="s">
        <v>746</v>
      </c>
      <c r="AD151" s="1">
        <v>40</v>
      </c>
      <c r="AE151" s="1">
        <v>6</v>
      </c>
      <c r="AF151" s="1">
        <v>7</v>
      </c>
      <c r="AG151" s="1">
        <v>7</v>
      </c>
      <c r="AH151" s="1">
        <v>3</v>
      </c>
      <c r="AI151" s="1">
        <v>18</v>
      </c>
      <c r="AJ151" s="1">
        <v>1700</v>
      </c>
      <c r="AL151" s="78">
        <v>1</v>
      </c>
    </row>
    <row r="152" spans="5:38" ht="12.75">
      <c r="E152" s="78">
        <v>3</v>
      </c>
      <c r="F152" s="78">
        <v>1</v>
      </c>
      <c r="H152" s="78">
        <v>3</v>
      </c>
      <c r="I152" s="78">
        <v>1</v>
      </c>
      <c r="K152" s="78" t="s">
        <v>34</v>
      </c>
      <c r="L152" s="1" t="b">
        <v>0</v>
      </c>
      <c r="M152" s="78">
        <f t="shared" si="21"/>
        <v>0</v>
      </c>
      <c r="N152" s="78">
        <v>-10</v>
      </c>
      <c r="O152" s="78">
        <v>10</v>
      </c>
      <c r="P152" s="78">
        <v>-10</v>
      </c>
      <c r="Q152" s="78">
        <v>0</v>
      </c>
      <c r="R152" s="78">
        <v>0</v>
      </c>
      <c r="S152" s="78">
        <f>IF(OR(F165=N148,F165=O148,F165=P148,F165=Q148,F165=R148),HLOOKUP(F165,N148:R152,3,FALSE),0)</f>
        <v>0</v>
      </c>
      <c r="T152" s="78">
        <f>IF(OR(F166=N148,F166=O148,F166=P148,F166=Q148,F166=R148),HLOOKUP(F166,N148:R152,3,FALSE),0)</f>
        <v>0</v>
      </c>
      <c r="U152" s="78">
        <f t="shared" si="22"/>
        <v>0</v>
      </c>
      <c r="Z152" s="92" t="s">
        <v>666</v>
      </c>
      <c r="AA152" s="1">
        <v>6</v>
      </c>
      <c r="AB152" s="1">
        <v>12</v>
      </c>
      <c r="AC152" s="88" t="s">
        <v>748</v>
      </c>
      <c r="AD152" s="1">
        <v>45</v>
      </c>
      <c r="AE152" s="1">
        <v>5</v>
      </c>
      <c r="AF152" s="1">
        <v>6</v>
      </c>
      <c r="AG152" s="1">
        <v>6</v>
      </c>
      <c r="AH152" s="1">
        <v>10</v>
      </c>
      <c r="AI152" s="1">
        <v>35</v>
      </c>
      <c r="AJ152" s="1">
        <v>1800</v>
      </c>
      <c r="AL152" s="78">
        <v>1</v>
      </c>
    </row>
    <row r="153" spans="5:38" ht="12.75">
      <c r="E153" s="78">
        <v>4</v>
      </c>
      <c r="F153" s="78">
        <v>1</v>
      </c>
      <c r="H153" s="78">
        <v>4</v>
      </c>
      <c r="I153" s="78">
        <v>1</v>
      </c>
      <c r="K153" s="78" t="s">
        <v>35</v>
      </c>
      <c r="L153" s="1" t="b">
        <v>0</v>
      </c>
      <c r="M153" s="78">
        <f t="shared" si="21"/>
        <v>0</v>
      </c>
      <c r="N153" s="78">
        <v>-10</v>
      </c>
      <c r="O153" s="78">
        <v>10</v>
      </c>
      <c r="P153" s="78">
        <v>-10</v>
      </c>
      <c r="Q153" s="78">
        <v>0</v>
      </c>
      <c r="R153" s="78">
        <v>20</v>
      </c>
      <c r="S153" s="78">
        <f>IF(OR(F165=N148,F165=O148,F165=P148,F165=Q148,F165=R148),HLOOKUP(F165,N148:R153,3,FALSE),0)</f>
        <v>0</v>
      </c>
      <c r="T153" s="78">
        <f>IF(OR(F166=N148,F166=O148,F166=P148,F166=Q148,F166=R148),HLOOKUP(F166,N148:R153,3,FALSE),0)</f>
        <v>0</v>
      </c>
      <c r="U153" s="78">
        <f t="shared" si="22"/>
        <v>0</v>
      </c>
      <c r="Z153" s="92" t="s">
        <v>664</v>
      </c>
      <c r="AA153" s="1">
        <v>6</v>
      </c>
      <c r="AB153" s="1">
        <v>15</v>
      </c>
      <c r="AC153" s="88" t="s">
        <v>746</v>
      </c>
      <c r="AD153" s="1">
        <v>35</v>
      </c>
      <c r="AE153" s="1">
        <v>5</v>
      </c>
      <c r="AF153" s="1">
        <v>6</v>
      </c>
      <c r="AG153" s="1">
        <v>6</v>
      </c>
      <c r="AH153" s="1">
        <v>12</v>
      </c>
      <c r="AI153" s="1">
        <v>24</v>
      </c>
      <c r="AJ153" s="1">
        <v>2000</v>
      </c>
      <c r="AL153" s="78">
        <v>1</v>
      </c>
    </row>
    <row r="154" spans="1:38" ht="12.75">
      <c r="A154" s="78" t="s">
        <v>1072</v>
      </c>
      <c r="E154" s="78">
        <v>5</v>
      </c>
      <c r="F154" s="78">
        <v>1</v>
      </c>
      <c r="H154" s="78">
        <v>5</v>
      </c>
      <c r="I154" s="78">
        <v>1</v>
      </c>
      <c r="K154" s="78" t="s">
        <v>0</v>
      </c>
      <c r="L154" s="1" t="b">
        <v>0</v>
      </c>
      <c r="M154" s="78">
        <f t="shared" si="21"/>
        <v>0</v>
      </c>
      <c r="N154" s="78">
        <v>-10</v>
      </c>
      <c r="O154" s="78">
        <v>10</v>
      </c>
      <c r="P154" s="78">
        <v>-10</v>
      </c>
      <c r="Q154" s="78">
        <v>0</v>
      </c>
      <c r="R154" s="78">
        <v>0</v>
      </c>
      <c r="S154" s="78">
        <f>IF(OR(F165=N148,F165=O148,F165=P148,F165=Q148,F165=R148),HLOOKUP(F165,N148:R154,3,FALSE),0)</f>
        <v>0</v>
      </c>
      <c r="T154" s="78">
        <f>IF(OR(F166=N148,F166=O148,F166=P148,F166=Q148,F166=R148),HLOOKUP(F166,N148:R154,3,FALSE),0)</f>
        <v>0</v>
      </c>
      <c r="U154" s="78">
        <f t="shared" si="22"/>
        <v>0</v>
      </c>
      <c r="Z154" s="92" t="s">
        <v>667</v>
      </c>
      <c r="AA154" s="1">
        <v>5</v>
      </c>
      <c r="AB154" s="1">
        <v>9</v>
      </c>
      <c r="AC154" s="88" t="s">
        <v>754</v>
      </c>
      <c r="AD154" s="1">
        <v>35</v>
      </c>
      <c r="AE154" s="1">
        <v>5</v>
      </c>
      <c r="AF154" s="1">
        <v>6</v>
      </c>
      <c r="AG154" s="1">
        <v>6</v>
      </c>
      <c r="AH154" s="1">
        <v>8</v>
      </c>
      <c r="AI154" s="1">
        <v>24</v>
      </c>
      <c r="AJ154" s="1">
        <v>3000</v>
      </c>
      <c r="AL154" s="78">
        <v>1</v>
      </c>
    </row>
    <row r="155" spans="5:38" ht="12.75">
      <c r="E155" s="78">
        <v>6</v>
      </c>
      <c r="F155" s="78">
        <v>1</v>
      </c>
      <c r="H155" s="78">
        <v>6</v>
      </c>
      <c r="I155" s="78">
        <v>2</v>
      </c>
      <c r="K155" s="78" t="s">
        <v>1</v>
      </c>
      <c r="L155" s="1" t="b">
        <v>0</v>
      </c>
      <c r="M155" s="78">
        <f t="shared" si="21"/>
        <v>0</v>
      </c>
      <c r="N155" s="78">
        <v>0</v>
      </c>
      <c r="O155" s="78">
        <v>10</v>
      </c>
      <c r="P155" s="78">
        <v>-10</v>
      </c>
      <c r="Q155" s="78">
        <v>0</v>
      </c>
      <c r="R155" s="78">
        <v>0</v>
      </c>
      <c r="S155" s="78">
        <f>IF(OR(F165=N148,F165=O148,F165=P148,F165=Q148,F165=R148),HLOOKUP(F165,N148:R155,3,FALSE),0)</f>
        <v>0</v>
      </c>
      <c r="T155" s="78">
        <f>IF(OR(F166=N148,F166=O148,F166=P148,F166=Q148,F166=R148),HLOOKUP(F166,N148:R155,3,FALSE),0)</f>
        <v>0</v>
      </c>
      <c r="U155" s="78">
        <f t="shared" si="22"/>
        <v>0</v>
      </c>
      <c r="Z155" s="92" t="s">
        <v>680</v>
      </c>
      <c r="AA155" s="1">
        <v>4</v>
      </c>
      <c r="AB155" s="1">
        <v>9</v>
      </c>
      <c r="AC155" s="88" t="s">
        <v>754</v>
      </c>
      <c r="AD155" s="1">
        <v>35</v>
      </c>
      <c r="AE155" s="1">
        <v>5</v>
      </c>
      <c r="AF155" s="1">
        <v>6</v>
      </c>
      <c r="AG155" s="1">
        <v>6</v>
      </c>
      <c r="AH155" s="1">
        <v>10</v>
      </c>
      <c r="AI155" s="1">
        <v>50</v>
      </c>
      <c r="AJ155" s="1">
        <v>8000</v>
      </c>
      <c r="AL155" s="78">
        <v>1</v>
      </c>
    </row>
    <row r="156" spans="5:36" ht="12.75">
      <c r="E156" s="78">
        <v>7</v>
      </c>
      <c r="F156" s="78">
        <v>2</v>
      </c>
      <c r="H156" s="78">
        <v>7</v>
      </c>
      <c r="I156" s="78">
        <v>2</v>
      </c>
      <c r="K156" s="78" t="s">
        <v>36</v>
      </c>
      <c r="L156" s="1" t="b">
        <v>0</v>
      </c>
      <c r="M156" s="78">
        <f t="shared" si="21"/>
        <v>0</v>
      </c>
      <c r="N156" s="78">
        <v>20</v>
      </c>
      <c r="O156" s="78">
        <v>10</v>
      </c>
      <c r="P156" s="78">
        <v>-10</v>
      </c>
      <c r="Q156" s="78">
        <v>0</v>
      </c>
      <c r="R156" s="78">
        <v>-20</v>
      </c>
      <c r="S156" s="78">
        <f>IF(OR(F165=N148,F165=O148,F165=P148,F165=Q148,F165=R148),HLOOKUP(F165,N148:R156,3,FALSE),0)</f>
        <v>0</v>
      </c>
      <c r="T156" s="78">
        <f>IF(OR(F166=N148,F166=O148,F166=P148,F166=Q148,F166=R148),HLOOKUP(F166,N148:R156,3,FALSE),0)</f>
        <v>0</v>
      </c>
      <c r="U156" s="78">
        <f t="shared" si="22"/>
        <v>0</v>
      </c>
      <c r="Z156" s="94" t="s">
        <v>1053</v>
      </c>
      <c r="AA156" s="1"/>
      <c r="AB156" s="1"/>
      <c r="AC156" s="88"/>
      <c r="AD156" s="1"/>
      <c r="AE156" s="1"/>
      <c r="AF156" s="1"/>
      <c r="AG156" s="1"/>
      <c r="AH156" s="1"/>
      <c r="AI156" s="1"/>
      <c r="AJ156" s="1"/>
    </row>
    <row r="157" spans="5:38" ht="12.75">
      <c r="E157" s="78">
        <v>8</v>
      </c>
      <c r="F157" s="78">
        <v>3</v>
      </c>
      <c r="H157" s="78">
        <v>8</v>
      </c>
      <c r="I157" s="78">
        <v>2</v>
      </c>
      <c r="K157" s="78" t="s">
        <v>37</v>
      </c>
      <c r="L157" s="1" t="b">
        <v>0</v>
      </c>
      <c r="M157" s="78">
        <f t="shared" si="21"/>
        <v>0</v>
      </c>
      <c r="N157" s="78">
        <v>20</v>
      </c>
      <c r="O157" s="78">
        <v>10</v>
      </c>
      <c r="P157" s="78">
        <v>-10</v>
      </c>
      <c r="Q157" s="78">
        <v>0</v>
      </c>
      <c r="R157" s="78">
        <v>-20</v>
      </c>
      <c r="S157" s="78">
        <f>IF(OR(F165=N148,F165=O148,F165=P148,F165=Q148,F165=R148),HLOOKUP(F165,N148:R157,3,FALSE),0)</f>
        <v>0</v>
      </c>
      <c r="T157" s="78">
        <f>IF(OR(F166=N148,F166=O148,F166=P148,F166=Q148,F166=R148),HLOOKUP(F166,N148:R157,3,FALSE),0)</f>
        <v>0</v>
      </c>
      <c r="U157" s="78">
        <f t="shared" si="22"/>
        <v>0</v>
      </c>
      <c r="Z157" s="92" t="s">
        <v>668</v>
      </c>
      <c r="AA157" s="1">
        <v>7</v>
      </c>
      <c r="AB157" s="1">
        <v>40</v>
      </c>
      <c r="AC157" s="88" t="s">
        <v>749</v>
      </c>
      <c r="AD157" s="1" t="s">
        <v>766</v>
      </c>
      <c r="AE157" s="1" t="s">
        <v>285</v>
      </c>
      <c r="AF157" s="1" t="s">
        <v>285</v>
      </c>
      <c r="AG157" s="1">
        <v>7</v>
      </c>
      <c r="AH157" s="1">
        <v>10</v>
      </c>
      <c r="AI157" s="1">
        <v>50</v>
      </c>
      <c r="AJ157" s="1">
        <v>3000</v>
      </c>
      <c r="AL157" s="1">
        <v>2</v>
      </c>
    </row>
    <row r="158" spans="5:38" ht="12.75">
      <c r="E158" s="78">
        <v>9</v>
      </c>
      <c r="F158" s="78">
        <v>4</v>
      </c>
      <c r="H158" s="78">
        <v>9</v>
      </c>
      <c r="I158" s="78">
        <v>3</v>
      </c>
      <c r="K158" s="78" t="s">
        <v>2</v>
      </c>
      <c r="L158" s="1" t="b">
        <v>0</v>
      </c>
      <c r="M158" s="78">
        <f t="shared" si="21"/>
        <v>0</v>
      </c>
      <c r="N158" s="78">
        <v>0</v>
      </c>
      <c r="O158" s="78">
        <v>10</v>
      </c>
      <c r="P158" s="78">
        <v>-10</v>
      </c>
      <c r="Q158" s="78">
        <v>0</v>
      </c>
      <c r="R158" s="78">
        <v>0</v>
      </c>
      <c r="S158" s="78">
        <f>IF(OR(F165=N148,F165=O148,F165=P148,F165=Q148,F165=R148),HLOOKUP(F165,N148:R158,3,FALSE),0)</f>
        <v>0</v>
      </c>
      <c r="T158" s="78">
        <f>IF(OR(F166=N148,F166=O148,F166=P148,F166=Q148,F166=R148),HLOOKUP(F166,N148:R158,3,FALSE),0)</f>
        <v>0</v>
      </c>
      <c r="U158" s="78">
        <f t="shared" si="22"/>
        <v>0</v>
      </c>
      <c r="Z158" s="92" t="s">
        <v>669</v>
      </c>
      <c r="AA158" s="1">
        <v>7</v>
      </c>
      <c r="AB158" s="1">
        <v>30</v>
      </c>
      <c r="AC158" s="88" t="s">
        <v>757</v>
      </c>
      <c r="AD158" s="1" t="s">
        <v>767</v>
      </c>
      <c r="AE158" s="1" t="s">
        <v>285</v>
      </c>
      <c r="AF158" s="1" t="s">
        <v>285</v>
      </c>
      <c r="AG158" s="1">
        <v>6</v>
      </c>
      <c r="AH158" s="1">
        <v>10</v>
      </c>
      <c r="AI158" s="1">
        <v>47</v>
      </c>
      <c r="AJ158" s="1">
        <v>3400</v>
      </c>
      <c r="AL158" s="1">
        <v>2</v>
      </c>
    </row>
    <row r="159" spans="5:38" ht="12.75">
      <c r="E159" s="78">
        <v>10</v>
      </c>
      <c r="F159" s="78">
        <v>5</v>
      </c>
      <c r="H159" s="78">
        <v>10</v>
      </c>
      <c r="I159" s="78">
        <v>3</v>
      </c>
      <c r="K159" s="78" t="s">
        <v>38</v>
      </c>
      <c r="L159" s="1" t="b">
        <v>0</v>
      </c>
      <c r="M159" s="78">
        <f t="shared" si="21"/>
        <v>0</v>
      </c>
      <c r="N159" s="78">
        <v>0</v>
      </c>
      <c r="O159" s="78">
        <v>10</v>
      </c>
      <c r="P159" s="78">
        <v>-10</v>
      </c>
      <c r="Q159" s="78">
        <v>15</v>
      </c>
      <c r="R159" s="78">
        <v>-20</v>
      </c>
      <c r="S159" s="78">
        <f>IF(OR(F165=N148,F165=O148,F165=P148,F165=Q148,F165=R148),HLOOKUP(F165,N148:R159,3,FALSE),0)</f>
        <v>0</v>
      </c>
      <c r="T159" s="78">
        <f>IF(OR(F166=N148,F166=O148,F166=P148,F166=Q148,F166=R148),HLOOKUP(F166,N148:R159,3,FALSE),0)</f>
        <v>0</v>
      </c>
      <c r="U159" s="78">
        <f t="shared" si="22"/>
        <v>0</v>
      </c>
      <c r="Z159" s="92" t="s">
        <v>670</v>
      </c>
      <c r="AA159" s="1">
        <v>7</v>
      </c>
      <c r="AB159" s="1">
        <v>26</v>
      </c>
      <c r="AC159" s="88" t="s">
        <v>768</v>
      </c>
      <c r="AD159" s="1" t="s">
        <v>769</v>
      </c>
      <c r="AE159" s="1" t="s">
        <v>285</v>
      </c>
      <c r="AF159" s="1" t="s">
        <v>285</v>
      </c>
      <c r="AG159" s="1">
        <v>6</v>
      </c>
      <c r="AH159" s="1">
        <v>10</v>
      </c>
      <c r="AI159" s="1">
        <v>50</v>
      </c>
      <c r="AJ159" s="1">
        <v>3500</v>
      </c>
      <c r="AL159" s="1">
        <v>2</v>
      </c>
    </row>
    <row r="160" spans="5:38" ht="12.75">
      <c r="E160" s="78">
        <v>11</v>
      </c>
      <c r="F160" s="78">
        <v>5</v>
      </c>
      <c r="H160" s="78">
        <v>11</v>
      </c>
      <c r="I160" s="78">
        <v>3</v>
      </c>
      <c r="K160" s="78" t="s">
        <v>3</v>
      </c>
      <c r="L160" s="1" t="b">
        <v>0</v>
      </c>
      <c r="M160" s="78">
        <f t="shared" si="21"/>
        <v>0</v>
      </c>
      <c r="N160" s="78">
        <v>0</v>
      </c>
      <c r="O160" s="78">
        <v>10</v>
      </c>
      <c r="P160" s="78">
        <v>-10</v>
      </c>
      <c r="Q160" s="78">
        <v>0</v>
      </c>
      <c r="R160" s="78">
        <v>0</v>
      </c>
      <c r="S160" s="78">
        <f>IF(OR(F165=N148,F165=O148,F165=P148,F165=Q148,F165=R148),HLOOKUP(F165,N148:R160,3,FALSE),0)</f>
        <v>0</v>
      </c>
      <c r="T160" s="78">
        <f>IF(OR(F166=N148,F166=O148,F166=P148,F166=Q148,F166=R148),HLOOKUP(F166,N148:R160,3,FALSE),0)</f>
        <v>0</v>
      </c>
      <c r="U160" s="78">
        <f t="shared" si="22"/>
        <v>0</v>
      </c>
      <c r="Z160" s="92" t="s">
        <v>671</v>
      </c>
      <c r="AA160" s="1">
        <v>7</v>
      </c>
      <c r="AB160" s="1">
        <v>26</v>
      </c>
      <c r="AC160" s="88" t="s">
        <v>757</v>
      </c>
      <c r="AD160" s="1" t="s">
        <v>770</v>
      </c>
      <c r="AE160" s="1" t="s">
        <v>285</v>
      </c>
      <c r="AF160" s="1" t="s">
        <v>285</v>
      </c>
      <c r="AG160" s="1">
        <v>6</v>
      </c>
      <c r="AH160" s="1">
        <v>15</v>
      </c>
      <c r="AI160" s="1">
        <v>30</v>
      </c>
      <c r="AJ160" s="1">
        <v>3500</v>
      </c>
      <c r="AL160" s="1">
        <v>2</v>
      </c>
    </row>
    <row r="161" spans="5:38" ht="12.75">
      <c r="E161" s="78">
        <v>12</v>
      </c>
      <c r="F161" s="78">
        <v>5</v>
      </c>
      <c r="H161" s="78">
        <v>12</v>
      </c>
      <c r="I161" s="78">
        <v>3</v>
      </c>
      <c r="K161" s="78" t="s">
        <v>4</v>
      </c>
      <c r="L161" s="1" t="b">
        <v>0</v>
      </c>
      <c r="M161" s="78">
        <f t="shared" si="21"/>
        <v>0</v>
      </c>
      <c r="N161" s="78">
        <v>0</v>
      </c>
      <c r="O161" s="78">
        <v>10</v>
      </c>
      <c r="P161" s="78">
        <v>-10</v>
      </c>
      <c r="Q161" s="78">
        <v>0</v>
      </c>
      <c r="R161" s="78">
        <v>0</v>
      </c>
      <c r="S161" s="78">
        <f>IF(OR(F165=N148,F165=O148,F165=P148,F165=Q148,F165=R148),HLOOKUP(F165,N148:R161,3,FALSE),0)</f>
        <v>0</v>
      </c>
      <c r="T161" s="78">
        <f>IF(OR(F166=N148,F166=O148,F166=P148,F166=Q148,F166=R148),HLOOKUP(F166,N148:R161,3,FALSE),0)</f>
        <v>0</v>
      </c>
      <c r="U161" s="78">
        <f t="shared" si="22"/>
        <v>0</v>
      </c>
      <c r="Z161" s="92" t="s">
        <v>672</v>
      </c>
      <c r="AA161" s="1">
        <v>7</v>
      </c>
      <c r="AB161" s="1">
        <v>30</v>
      </c>
      <c r="AC161" s="88" t="s">
        <v>760</v>
      </c>
      <c r="AD161" s="1" t="s">
        <v>771</v>
      </c>
      <c r="AE161" s="1" t="s">
        <v>285</v>
      </c>
      <c r="AF161" s="1" t="s">
        <v>285</v>
      </c>
      <c r="AG161" s="1">
        <v>6</v>
      </c>
      <c r="AH161" s="1">
        <v>10</v>
      </c>
      <c r="AI161" s="1">
        <v>50</v>
      </c>
      <c r="AJ161" s="1">
        <v>3600</v>
      </c>
      <c r="AL161" s="1">
        <v>2</v>
      </c>
    </row>
    <row r="162" spans="5:38" ht="12.75">
      <c r="E162" s="78">
        <v>13</v>
      </c>
      <c r="F162" s="78">
        <v>5</v>
      </c>
      <c r="H162" s="78">
        <v>13</v>
      </c>
      <c r="I162" s="78">
        <v>3</v>
      </c>
      <c r="K162" s="78" t="s">
        <v>39</v>
      </c>
      <c r="L162" s="1" t="b">
        <v>0</v>
      </c>
      <c r="M162" s="78">
        <f t="shared" si="21"/>
        <v>0</v>
      </c>
      <c r="N162" s="78">
        <v>0</v>
      </c>
      <c r="O162" s="78">
        <v>10</v>
      </c>
      <c r="P162" s="78">
        <v>-10</v>
      </c>
      <c r="Q162" s="78">
        <v>15</v>
      </c>
      <c r="R162" s="78">
        <v>-20</v>
      </c>
      <c r="S162" s="78">
        <f>IF(OR(F165=N148,F165=O148,F165=P148,F165=Q148,F165=R148),HLOOKUP(F165,N148:R162,3,FALSE),0)</f>
        <v>0</v>
      </c>
      <c r="T162" s="78">
        <f>IF(OR(F166=N148,F166=O148,F166=P148,F166=Q148,F166=R148),HLOOKUP(F166,N148:R162,3,FALSE),0)</f>
        <v>0</v>
      </c>
      <c r="U162" s="78">
        <f t="shared" si="22"/>
        <v>0</v>
      </c>
      <c r="Z162" s="92" t="s">
        <v>673</v>
      </c>
      <c r="AA162" s="1">
        <v>7</v>
      </c>
      <c r="AB162" s="1">
        <v>31</v>
      </c>
      <c r="AC162" s="88" t="s">
        <v>745</v>
      </c>
      <c r="AD162" s="1">
        <v>35</v>
      </c>
      <c r="AE162" s="1" t="s">
        <v>285</v>
      </c>
      <c r="AF162" s="1" t="s">
        <v>285</v>
      </c>
      <c r="AG162" s="1">
        <v>6</v>
      </c>
      <c r="AH162" s="1">
        <v>20</v>
      </c>
      <c r="AI162" s="1">
        <v>120</v>
      </c>
      <c r="AJ162" s="1">
        <v>3800</v>
      </c>
      <c r="AL162" s="1">
        <v>2</v>
      </c>
    </row>
    <row r="163" spans="5:38" ht="12.75">
      <c r="E163" s="78">
        <v>14</v>
      </c>
      <c r="F163" s="78">
        <v>5</v>
      </c>
      <c r="K163" s="78" t="s">
        <v>5</v>
      </c>
      <c r="L163" s="1" t="b">
        <v>0</v>
      </c>
      <c r="M163" s="78">
        <f t="shared" si="21"/>
        <v>0</v>
      </c>
      <c r="N163" s="78">
        <v>0</v>
      </c>
      <c r="O163" s="78">
        <v>10</v>
      </c>
      <c r="P163" s="78">
        <v>-10</v>
      </c>
      <c r="Q163" s="78">
        <v>15</v>
      </c>
      <c r="R163" s="78">
        <v>-20</v>
      </c>
      <c r="S163" s="78">
        <f>IF(OR(F165=N148,F165=O148,F165=P148,F165=Q148,F165=R148),HLOOKUP(F165,N148:R163,3,FALSE),0)</f>
        <v>0</v>
      </c>
      <c r="T163" s="78">
        <f>IF(OR(F166=N148,F166=O148,F166=P148,F166=Q148,F166=R148),HLOOKUP(F166,N148:R163,3,FALSE),0)</f>
        <v>0</v>
      </c>
      <c r="U163" s="78">
        <f t="shared" si="22"/>
        <v>0</v>
      </c>
      <c r="Z163" s="92" t="s">
        <v>773</v>
      </c>
      <c r="AA163" s="1">
        <v>6</v>
      </c>
      <c r="AB163" s="1">
        <v>21</v>
      </c>
      <c r="AC163" s="88" t="s">
        <v>757</v>
      </c>
      <c r="AD163" s="1" t="s">
        <v>772</v>
      </c>
      <c r="AE163" s="1" t="s">
        <v>285</v>
      </c>
      <c r="AF163" s="1" t="s">
        <v>285</v>
      </c>
      <c r="AG163" s="1">
        <v>6</v>
      </c>
      <c r="AH163" s="1">
        <v>10</v>
      </c>
      <c r="AI163" s="1">
        <v>30</v>
      </c>
      <c r="AJ163" s="1">
        <v>4000</v>
      </c>
      <c r="AL163" s="1">
        <v>2</v>
      </c>
    </row>
    <row r="164" spans="11:38" ht="12.75">
      <c r="K164" s="78" t="s">
        <v>9</v>
      </c>
      <c r="L164" s="1" t="b">
        <v>0</v>
      </c>
      <c r="M164" s="78">
        <f t="shared" si="21"/>
        <v>0</v>
      </c>
      <c r="N164" s="78">
        <v>0</v>
      </c>
      <c r="O164" s="78">
        <v>10</v>
      </c>
      <c r="P164" s="78">
        <v>-10</v>
      </c>
      <c r="Q164" s="78">
        <v>0</v>
      </c>
      <c r="R164" s="78">
        <v>0</v>
      </c>
      <c r="S164" s="78">
        <f>IF(OR(F165=N148,F165=O148,F165=P148,F165=Q148,F165=R148),HLOOKUP(F165,N148:R164,3,FALSE),0)</f>
        <v>0</v>
      </c>
      <c r="T164" s="78">
        <f>IF(OR(F166=N148,F166=O148,F166=P148,F166=Q148,F166=R148),HLOOKUP(F166,N148:R164,3,FALSE),0)</f>
        <v>0</v>
      </c>
      <c r="U164" s="78">
        <f t="shared" si="22"/>
        <v>0</v>
      </c>
      <c r="Z164" s="92" t="s">
        <v>674</v>
      </c>
      <c r="AA164" s="1">
        <v>6</v>
      </c>
      <c r="AB164" s="1">
        <v>22</v>
      </c>
      <c r="AC164" s="88" t="s">
        <v>757</v>
      </c>
      <c r="AD164" s="1" t="s">
        <v>774</v>
      </c>
      <c r="AE164" s="1" t="s">
        <v>285</v>
      </c>
      <c r="AF164" s="1" t="s">
        <v>285</v>
      </c>
      <c r="AG164" s="1">
        <v>6</v>
      </c>
      <c r="AH164" s="1">
        <v>10</v>
      </c>
      <c r="AI164" s="1">
        <v>30</v>
      </c>
      <c r="AJ164" s="1">
        <v>4750</v>
      </c>
      <c r="AL164" s="1">
        <v>2</v>
      </c>
    </row>
    <row r="165" spans="5:38" ht="12.75">
      <c r="E165" s="78" t="s">
        <v>149</v>
      </c>
      <c r="F165" s="78">
        <v>1</v>
      </c>
      <c r="H165" s="78">
        <v>5</v>
      </c>
      <c r="K165" s="78" t="s">
        <v>6</v>
      </c>
      <c r="L165" s="1" t="b">
        <v>0</v>
      </c>
      <c r="M165" s="78">
        <f t="shared" si="21"/>
        <v>0</v>
      </c>
      <c r="N165" s="78">
        <v>20</v>
      </c>
      <c r="O165" s="78">
        <v>10</v>
      </c>
      <c r="P165" s="78">
        <v>-10</v>
      </c>
      <c r="Q165" s="78">
        <v>0</v>
      </c>
      <c r="R165" s="78">
        <v>0</v>
      </c>
      <c r="S165" s="78">
        <f>IF(OR(F165=N148,F165=O148,F165=P148,F165=Q148,F165=R148),HLOOKUP(F165,N148:R165,3,FALSE),0)</f>
        <v>0</v>
      </c>
      <c r="T165" s="78">
        <f>IF(OR(F166=N148,F166=O148,F166=P148,F166=Q148,F166=R148),HLOOKUP(F166,N148:R165,3,FALSE),0)</f>
        <v>0</v>
      </c>
      <c r="U165" s="78">
        <f t="shared" si="22"/>
        <v>0</v>
      </c>
      <c r="Z165" s="92" t="s">
        <v>675</v>
      </c>
      <c r="AA165" s="1">
        <v>7</v>
      </c>
      <c r="AB165" s="1">
        <v>35</v>
      </c>
      <c r="AC165" s="88" t="s">
        <v>768</v>
      </c>
      <c r="AD165" s="1" t="s">
        <v>775</v>
      </c>
      <c r="AE165" s="1" t="s">
        <v>285</v>
      </c>
      <c r="AF165" s="1" t="s">
        <v>285</v>
      </c>
      <c r="AG165" s="1">
        <v>7</v>
      </c>
      <c r="AH165" s="1">
        <v>10</v>
      </c>
      <c r="AI165" s="1">
        <v>50</v>
      </c>
      <c r="AJ165" s="1">
        <v>5000</v>
      </c>
      <c r="AL165" s="1">
        <v>2</v>
      </c>
    </row>
    <row r="166" spans="5:38" ht="12.75">
      <c r="E166" s="78" t="s">
        <v>150</v>
      </c>
      <c r="F166" s="78">
        <v>1</v>
      </c>
      <c r="H166" s="78">
        <f>SUM(Игрок1!K163,Игрок1!K165,Игрок1!K167,Игрок1!K169,Игрок1!K171,Игрок1!K173,Игрок1!K175)</f>
        <v>0</v>
      </c>
      <c r="K166" s="78" t="s">
        <v>7</v>
      </c>
      <c r="L166" s="1" t="b">
        <v>0</v>
      </c>
      <c r="M166" s="78">
        <f t="shared" si="21"/>
        <v>0</v>
      </c>
      <c r="N166" s="78">
        <v>20</v>
      </c>
      <c r="O166" s="78">
        <v>10</v>
      </c>
      <c r="P166" s="78">
        <v>-10</v>
      </c>
      <c r="Q166" s="78">
        <v>0</v>
      </c>
      <c r="R166" s="78">
        <v>0</v>
      </c>
      <c r="S166" s="78">
        <f>IF(OR(F165=N148,F165=O148,F165=P148,F165=Q148,F165=R148),HLOOKUP(F165,N148:R166,3,FALSE),0)</f>
        <v>0</v>
      </c>
      <c r="T166" s="78">
        <f>IF(OR(F166=N148,F166=O148,F166=P148,F166=Q148,F166=R148),HLOOKUP(F166,N148:R166,3,FALSE),0)</f>
        <v>0</v>
      </c>
      <c r="U166" s="78">
        <f t="shared" si="22"/>
        <v>0</v>
      </c>
      <c r="Z166" s="92" t="s">
        <v>676</v>
      </c>
      <c r="AA166" s="1">
        <v>6</v>
      </c>
      <c r="AB166" s="1">
        <v>22</v>
      </c>
      <c r="AC166" s="88" t="s">
        <v>289</v>
      </c>
      <c r="AD166" s="1">
        <v>75</v>
      </c>
      <c r="AE166" s="1" t="s">
        <v>285</v>
      </c>
      <c r="AF166" s="1" t="s">
        <v>285</v>
      </c>
      <c r="AG166" s="1">
        <v>6</v>
      </c>
      <c r="AH166" s="1">
        <v>15</v>
      </c>
      <c r="AI166" s="1">
        <v>30</v>
      </c>
      <c r="AJ166" s="1">
        <v>5250</v>
      </c>
      <c r="AL166" s="1">
        <v>2</v>
      </c>
    </row>
    <row r="167" spans="11:38" ht="12.75">
      <c r="K167" s="78" t="s">
        <v>40</v>
      </c>
      <c r="L167" s="1" t="b">
        <v>0</v>
      </c>
      <c r="M167" s="78">
        <f t="shared" si="21"/>
        <v>0</v>
      </c>
      <c r="N167" s="78">
        <v>0</v>
      </c>
      <c r="O167" s="78">
        <v>10</v>
      </c>
      <c r="P167" s="78">
        <v>-10</v>
      </c>
      <c r="Q167" s="78">
        <v>0</v>
      </c>
      <c r="R167" s="78">
        <v>0</v>
      </c>
      <c r="S167" s="78">
        <f>IF(OR(F165=N148,F165=O148,F165=P148,F165=Q148,F165=R148),HLOOKUP(F165,N148:R167,3,FALSE),0)</f>
        <v>0</v>
      </c>
      <c r="T167" s="78">
        <f>IF(OR(F166=N148,F166=O148,F166=P148,F166=Q148,F166=R148),HLOOKUP(F166,N148:R167,3,FALSE),0)</f>
        <v>0</v>
      </c>
      <c r="U167" s="78">
        <f t="shared" si="22"/>
        <v>0</v>
      </c>
      <c r="Z167" s="92" t="s">
        <v>678</v>
      </c>
      <c r="AA167" s="1">
        <v>7</v>
      </c>
      <c r="AB167" s="1">
        <v>31</v>
      </c>
      <c r="AC167" s="88" t="s">
        <v>751</v>
      </c>
      <c r="AD167" s="1">
        <v>40</v>
      </c>
      <c r="AE167" s="1" t="s">
        <v>285</v>
      </c>
      <c r="AF167" s="1" t="s">
        <v>285</v>
      </c>
      <c r="AG167" s="1">
        <v>6</v>
      </c>
      <c r="AH167" s="1">
        <v>40</v>
      </c>
      <c r="AI167" s="1">
        <v>120</v>
      </c>
      <c r="AJ167" s="1">
        <v>5500</v>
      </c>
      <c r="AL167" s="1">
        <v>2</v>
      </c>
    </row>
    <row r="168" spans="11:38" ht="12.75">
      <c r="K168" s="78" t="s">
        <v>41</v>
      </c>
      <c r="L168" s="1" t="b">
        <v>0</v>
      </c>
      <c r="M168" s="78">
        <f t="shared" si="21"/>
        <v>0</v>
      </c>
      <c r="N168" s="78">
        <v>0</v>
      </c>
      <c r="O168" s="78">
        <v>10</v>
      </c>
      <c r="P168" s="78">
        <v>-10</v>
      </c>
      <c r="Q168" s="78">
        <v>0</v>
      </c>
      <c r="R168" s="78">
        <v>0</v>
      </c>
      <c r="S168" s="78">
        <f>IF(OR(F165=N148,F165=O148,F165=P148,F165=Q148,F165=R148),HLOOKUP(F165,N148:R168,3,FALSE),0)</f>
        <v>0</v>
      </c>
      <c r="T168" s="78">
        <f>IF(OR(F166=N148,F166=O148,F166=P148,F166=Q148,F166=R148),HLOOKUP(F166,N148:R168,3,FALSE),0)</f>
        <v>0</v>
      </c>
      <c r="U168" s="78">
        <f t="shared" si="22"/>
        <v>0</v>
      </c>
      <c r="Z168" s="92" t="s">
        <v>677</v>
      </c>
      <c r="AA168" s="1">
        <v>6</v>
      </c>
      <c r="AB168" s="1">
        <v>60</v>
      </c>
      <c r="AC168" s="88" t="s">
        <v>757</v>
      </c>
      <c r="AD168" s="1" t="s">
        <v>776</v>
      </c>
      <c r="AE168" s="1" t="s">
        <v>285</v>
      </c>
      <c r="AF168" s="1" t="s">
        <v>285</v>
      </c>
      <c r="AG168" s="1">
        <v>7</v>
      </c>
      <c r="AH168" s="1">
        <v>25</v>
      </c>
      <c r="AI168" s="1">
        <v>100</v>
      </c>
      <c r="AJ168" s="1">
        <v>7500</v>
      </c>
      <c r="AL168" s="1">
        <v>2</v>
      </c>
    </row>
    <row r="169" spans="26:38" ht="12.75">
      <c r="Z169" s="92" t="s">
        <v>679</v>
      </c>
      <c r="AA169" s="1">
        <v>7</v>
      </c>
      <c r="AB169" s="1">
        <v>30</v>
      </c>
      <c r="AC169" s="88" t="s">
        <v>759</v>
      </c>
      <c r="AD169" s="1">
        <v>30</v>
      </c>
      <c r="AE169" s="1" t="s">
        <v>285</v>
      </c>
      <c r="AF169" s="1" t="s">
        <v>285</v>
      </c>
      <c r="AG169" s="1">
        <v>6</v>
      </c>
      <c r="AH169" s="1">
        <v>25</v>
      </c>
      <c r="AI169" s="1">
        <v>100</v>
      </c>
      <c r="AJ169" s="1">
        <v>15250</v>
      </c>
      <c r="AL169" s="1">
        <v>2</v>
      </c>
    </row>
    <row r="170" spans="26:38" ht="12.75">
      <c r="Z170" s="92" t="s">
        <v>681</v>
      </c>
      <c r="AA170" s="1">
        <v>6</v>
      </c>
      <c r="AB170" s="1">
        <v>30</v>
      </c>
      <c r="AC170" s="88" t="s">
        <v>777</v>
      </c>
      <c r="AD170" s="1">
        <v>35</v>
      </c>
      <c r="AE170" s="1" t="s">
        <v>285</v>
      </c>
      <c r="AF170" s="1" t="s">
        <v>285</v>
      </c>
      <c r="AG170" s="1">
        <v>6</v>
      </c>
      <c r="AH170" s="1">
        <v>20</v>
      </c>
      <c r="AI170" s="1">
        <v>80</v>
      </c>
      <c r="AJ170" s="1">
        <v>18000</v>
      </c>
      <c r="AL170" s="1">
        <v>2</v>
      </c>
    </row>
    <row r="171" spans="26:38" ht="12.75">
      <c r="Z171" s="94" t="s">
        <v>1054</v>
      </c>
      <c r="AA171" s="1"/>
      <c r="AB171" s="1"/>
      <c r="AC171" s="88"/>
      <c r="AD171" s="1"/>
      <c r="AE171" s="1"/>
      <c r="AF171" s="1"/>
      <c r="AG171" s="1"/>
      <c r="AH171" s="1"/>
      <c r="AI171" s="1"/>
      <c r="AJ171" s="1"/>
      <c r="AL171" s="1"/>
    </row>
    <row r="172" spans="26:38" ht="12.75">
      <c r="Z172" s="92" t="s">
        <v>682</v>
      </c>
      <c r="AA172" s="1">
        <v>5</v>
      </c>
      <c r="AB172" s="1">
        <v>16</v>
      </c>
      <c r="AC172" s="88" t="s">
        <v>755</v>
      </c>
      <c r="AD172" s="1">
        <v>20</v>
      </c>
      <c r="AE172" s="1">
        <v>5</v>
      </c>
      <c r="AF172" s="1" t="s">
        <v>285</v>
      </c>
      <c r="AG172" s="1" t="s">
        <v>285</v>
      </c>
      <c r="AH172" s="1" t="s">
        <v>285</v>
      </c>
      <c r="AI172" s="1">
        <v>1</v>
      </c>
      <c r="AJ172" s="1">
        <v>2000</v>
      </c>
      <c r="AL172" s="1">
        <v>2</v>
      </c>
    </row>
    <row r="173" spans="26:38" ht="12.75">
      <c r="Z173" s="92" t="s">
        <v>683</v>
      </c>
      <c r="AA173" s="1">
        <v>5</v>
      </c>
      <c r="AB173" s="1">
        <v>10</v>
      </c>
      <c r="AC173" s="88" t="s">
        <v>755</v>
      </c>
      <c r="AD173" s="1" t="s">
        <v>778</v>
      </c>
      <c r="AE173" s="1">
        <v>5</v>
      </c>
      <c r="AF173" s="1" t="s">
        <v>285</v>
      </c>
      <c r="AG173" s="1" t="s">
        <v>285</v>
      </c>
      <c r="AH173" s="1" t="s">
        <v>285</v>
      </c>
      <c r="AI173" s="1">
        <v>2</v>
      </c>
      <c r="AJ173" s="1">
        <v>2100</v>
      </c>
      <c r="AL173" s="1">
        <v>2</v>
      </c>
    </row>
    <row r="174" spans="14:38" ht="12.75">
      <c r="N174" s="78">
        <v>12</v>
      </c>
      <c r="O174" s="1">
        <v>16</v>
      </c>
      <c r="P174" s="89">
        <v>17</v>
      </c>
      <c r="Q174" s="89">
        <v>20</v>
      </c>
      <c r="R174" s="1">
        <v>23</v>
      </c>
      <c r="Z174" s="92" t="s">
        <v>684</v>
      </c>
      <c r="AA174" s="1">
        <v>5</v>
      </c>
      <c r="AB174" s="1">
        <v>8</v>
      </c>
      <c r="AC174" s="88" t="s">
        <v>755</v>
      </c>
      <c r="AD174" s="1">
        <v>20</v>
      </c>
      <c r="AE174" s="1">
        <v>5</v>
      </c>
      <c r="AF174" s="1" t="s">
        <v>285</v>
      </c>
      <c r="AG174" s="1" t="s">
        <v>285</v>
      </c>
      <c r="AH174" s="1" t="s">
        <v>285</v>
      </c>
      <c r="AI174" s="1">
        <v>1</v>
      </c>
      <c r="AJ174" s="1">
        <v>3000</v>
      </c>
      <c r="AL174" s="1">
        <v>2</v>
      </c>
    </row>
    <row r="175" spans="4:38" ht="12.75">
      <c r="D175" s="78" t="s">
        <v>141</v>
      </c>
      <c r="E175" s="1" t="s">
        <v>114</v>
      </c>
      <c r="F175" s="1" t="s">
        <v>129</v>
      </c>
      <c r="G175" s="2" t="s">
        <v>142</v>
      </c>
      <c r="H175" s="1" t="s">
        <v>116</v>
      </c>
      <c r="I175" s="1" t="s">
        <v>152</v>
      </c>
      <c r="K175" s="1" t="s">
        <v>73</v>
      </c>
      <c r="L175" s="84" t="s">
        <v>93</v>
      </c>
      <c r="M175" s="1" t="s">
        <v>153</v>
      </c>
      <c r="N175" s="1" t="s">
        <v>166</v>
      </c>
      <c r="O175" s="1" t="s">
        <v>170</v>
      </c>
      <c r="P175" s="1" t="s">
        <v>171</v>
      </c>
      <c r="Q175" s="1" t="s">
        <v>54</v>
      </c>
      <c r="R175" s="1" t="s">
        <v>55</v>
      </c>
      <c r="S175" s="1" t="s">
        <v>215</v>
      </c>
      <c r="T175" s="1" t="s">
        <v>216</v>
      </c>
      <c r="U175" s="1" t="s">
        <v>75</v>
      </c>
      <c r="Z175" s="92" t="s">
        <v>685</v>
      </c>
      <c r="AA175" s="1">
        <v>5</v>
      </c>
      <c r="AB175" s="1">
        <v>25</v>
      </c>
      <c r="AC175" s="88" t="s">
        <v>755</v>
      </c>
      <c r="AD175" s="1" t="s">
        <v>776</v>
      </c>
      <c r="AE175" s="1">
        <v>6</v>
      </c>
      <c r="AF175" s="1" t="s">
        <v>285</v>
      </c>
      <c r="AG175" s="1" t="s">
        <v>285</v>
      </c>
      <c r="AH175" s="1" t="s">
        <v>285</v>
      </c>
      <c r="AI175" s="1">
        <v>1</v>
      </c>
      <c r="AJ175" s="1">
        <v>7000</v>
      </c>
      <c r="AL175" s="1">
        <v>2</v>
      </c>
    </row>
    <row r="176" spans="5:38" ht="12.75">
      <c r="E176" s="78">
        <v>1</v>
      </c>
      <c r="F176" s="78">
        <v>1</v>
      </c>
      <c r="H176" s="78">
        <v>1</v>
      </c>
      <c r="I176" s="78">
        <v>1</v>
      </c>
      <c r="K176" s="78" t="s">
        <v>32</v>
      </c>
      <c r="L176" s="1" t="b">
        <v>0</v>
      </c>
      <c r="M176" s="78">
        <f>IF(L176=TRUE,20,0)</f>
        <v>0</v>
      </c>
      <c r="N176" s="78">
        <v>-10</v>
      </c>
      <c r="O176" s="78">
        <v>10</v>
      </c>
      <c r="P176" s="78">
        <v>-10</v>
      </c>
      <c r="Q176" s="78">
        <v>0</v>
      </c>
      <c r="R176" s="78">
        <v>-20</v>
      </c>
      <c r="S176" s="78">
        <f>IF(OR(F191=N174,F191=O174,F191=P174,F191=Q174,F191=R174),HLOOKUP(F191,N174:R176,3,FALSE),0)</f>
        <v>0</v>
      </c>
      <c r="T176" s="78">
        <f>IF(OR(F192=N174,F192=O174,F192=P174,F192=Q174,F192=R174),HLOOKUP(F192,N174:R176,3,FALSE),0)</f>
        <v>0</v>
      </c>
      <c r="U176" s="78">
        <f>SUM(S176:T176)</f>
        <v>0</v>
      </c>
      <c r="Z176" s="92" t="s">
        <v>686</v>
      </c>
      <c r="AA176" s="1">
        <v>5</v>
      </c>
      <c r="AB176" s="1">
        <v>30</v>
      </c>
      <c r="AC176" s="88" t="s">
        <v>755</v>
      </c>
      <c r="AD176" s="1" t="s">
        <v>779</v>
      </c>
      <c r="AE176" s="1">
        <v>6</v>
      </c>
      <c r="AF176" s="1" t="s">
        <v>285</v>
      </c>
      <c r="AG176" s="1" t="s">
        <v>285</v>
      </c>
      <c r="AH176" s="1" t="s">
        <v>285</v>
      </c>
      <c r="AI176" s="1">
        <v>5</v>
      </c>
      <c r="AJ176" s="1">
        <v>10500</v>
      </c>
      <c r="AL176" s="1">
        <v>2</v>
      </c>
    </row>
    <row r="177" spans="5:38" ht="12.75">
      <c r="E177" s="78">
        <v>2</v>
      </c>
      <c r="F177" s="78">
        <v>1</v>
      </c>
      <c r="H177" s="78">
        <v>2</v>
      </c>
      <c r="I177" s="78">
        <v>1</v>
      </c>
      <c r="K177" s="78" t="s">
        <v>33</v>
      </c>
      <c r="L177" s="1" t="b">
        <v>0</v>
      </c>
      <c r="M177" s="78">
        <f aca="true" t="shared" si="23" ref="M177:M194">IF(L177=TRUE,20,0)</f>
        <v>0</v>
      </c>
      <c r="N177" s="78">
        <v>-10</v>
      </c>
      <c r="O177" s="78">
        <v>10</v>
      </c>
      <c r="P177" s="78">
        <v>-10</v>
      </c>
      <c r="Q177" s="78">
        <v>0</v>
      </c>
      <c r="R177" s="78">
        <v>0</v>
      </c>
      <c r="S177" s="78">
        <f>IF(OR(F191=N174,F191=O174,F191=P174,F191=Q174,F191=R174),HLOOKUP(F191,N174:R177,3,FALSE),0)</f>
        <v>0</v>
      </c>
      <c r="T177" s="78">
        <f>IF(OR(F192=N174,F192=O174,F192=P174,F192=Q174,F192=R174),HLOOKUP(F192,N174:R177,3,FALSE),0)</f>
        <v>0</v>
      </c>
      <c r="U177" s="78">
        <f aca="true" t="shared" si="24" ref="U177:U194">SUM(S177:T177)</f>
        <v>0</v>
      </c>
      <c r="Z177" s="92" t="s">
        <v>399</v>
      </c>
      <c r="AA177" s="1">
        <v>5</v>
      </c>
      <c r="AB177" s="1">
        <v>40</v>
      </c>
      <c r="AC177" s="88" t="s">
        <v>755</v>
      </c>
      <c r="AD177" s="1" t="s">
        <v>780</v>
      </c>
      <c r="AE177" s="1">
        <v>5</v>
      </c>
      <c r="AF177" s="1" t="s">
        <v>285</v>
      </c>
      <c r="AG177" s="1" t="s">
        <v>285</v>
      </c>
      <c r="AH177" s="1" t="s">
        <v>285</v>
      </c>
      <c r="AI177" s="1">
        <v>1</v>
      </c>
      <c r="AJ177" s="1">
        <v>14000</v>
      </c>
      <c r="AL177" s="1">
        <v>2</v>
      </c>
    </row>
    <row r="178" spans="5:38" ht="12.75">
      <c r="E178" s="78">
        <v>3</v>
      </c>
      <c r="F178" s="78">
        <v>1</v>
      </c>
      <c r="H178" s="78">
        <v>3</v>
      </c>
      <c r="I178" s="78">
        <v>1</v>
      </c>
      <c r="K178" s="78" t="s">
        <v>34</v>
      </c>
      <c r="L178" s="1" t="b">
        <v>0</v>
      </c>
      <c r="M178" s="78">
        <f t="shared" si="23"/>
        <v>0</v>
      </c>
      <c r="N178" s="78">
        <v>-10</v>
      </c>
      <c r="O178" s="78">
        <v>10</v>
      </c>
      <c r="P178" s="78">
        <v>-10</v>
      </c>
      <c r="Q178" s="78">
        <v>0</v>
      </c>
      <c r="R178" s="78">
        <v>0</v>
      </c>
      <c r="S178" s="78">
        <f>IF(OR(F191=N174,F191=O174,F191=P174,F191=Q174,F191=R174),HLOOKUP(F191,N174:R178,3,FALSE),0)</f>
        <v>0</v>
      </c>
      <c r="T178" s="78">
        <f>IF(OR(F192=N174,F192=O174,F192=P174,F192=Q174,F192=R174),HLOOKUP(F192,N174:R178,3,FALSE),0)</f>
        <v>0</v>
      </c>
      <c r="U178" s="78">
        <f t="shared" si="24"/>
        <v>0</v>
      </c>
      <c r="Z178" s="92" t="s">
        <v>400</v>
      </c>
      <c r="AA178" s="1">
        <v>5</v>
      </c>
      <c r="AB178" s="1">
        <v>45</v>
      </c>
      <c r="AC178" s="88" t="s">
        <v>755</v>
      </c>
      <c r="AD178" s="1" t="s">
        <v>781</v>
      </c>
      <c r="AE178" s="1">
        <v>5</v>
      </c>
      <c r="AF178" s="1" t="s">
        <v>285</v>
      </c>
      <c r="AG178" s="1" t="s">
        <v>285</v>
      </c>
      <c r="AH178" s="1" t="s">
        <v>285</v>
      </c>
      <c r="AI178" s="1">
        <v>1</v>
      </c>
      <c r="AJ178" s="1">
        <v>15000</v>
      </c>
      <c r="AL178" s="1">
        <v>2</v>
      </c>
    </row>
    <row r="179" spans="5:38" ht="12.75">
      <c r="E179" s="78">
        <v>4</v>
      </c>
      <c r="F179" s="78">
        <v>1</v>
      </c>
      <c r="H179" s="78">
        <v>4</v>
      </c>
      <c r="I179" s="78">
        <v>1</v>
      </c>
      <c r="K179" s="78" t="s">
        <v>35</v>
      </c>
      <c r="L179" s="1" t="b">
        <v>0</v>
      </c>
      <c r="M179" s="78">
        <f t="shared" si="23"/>
        <v>0</v>
      </c>
      <c r="N179" s="78">
        <v>-10</v>
      </c>
      <c r="O179" s="78">
        <v>10</v>
      </c>
      <c r="P179" s="78">
        <v>-10</v>
      </c>
      <c r="Q179" s="78">
        <v>0</v>
      </c>
      <c r="R179" s="78">
        <v>20</v>
      </c>
      <c r="S179" s="78">
        <f>IF(OR(F191=N174,F191=O174,F191=P174,F191=Q174,F191=R174),HLOOKUP(F191,N174:R179,3,FALSE),0)</f>
        <v>0</v>
      </c>
      <c r="T179" s="78">
        <f>IF(OR(F192=N174,F192=O174,F192=P174,F192=Q174,F192=R174),HLOOKUP(F192,N174:R179,3,FALSE),0)</f>
        <v>0</v>
      </c>
      <c r="U179" s="78">
        <f t="shared" si="24"/>
        <v>0</v>
      </c>
      <c r="Z179" s="94" t="s">
        <v>1055</v>
      </c>
      <c r="AA179" s="1"/>
      <c r="AB179" s="1"/>
      <c r="AC179" s="88"/>
      <c r="AD179" s="1"/>
      <c r="AE179" s="1"/>
      <c r="AF179" s="1"/>
      <c r="AG179" s="1"/>
      <c r="AH179" s="1"/>
      <c r="AI179" s="1"/>
      <c r="AJ179" s="1"/>
      <c r="AL179" s="1"/>
    </row>
    <row r="180" spans="1:38" ht="12.75">
      <c r="A180" s="78" t="s">
        <v>1073</v>
      </c>
      <c r="E180" s="78">
        <v>5</v>
      </c>
      <c r="F180" s="78">
        <v>1</v>
      </c>
      <c r="H180" s="78">
        <v>5</v>
      </c>
      <c r="I180" s="78">
        <v>1</v>
      </c>
      <c r="K180" s="78" t="s">
        <v>0</v>
      </c>
      <c r="L180" s="1" t="b">
        <v>0</v>
      </c>
      <c r="M180" s="78">
        <f t="shared" si="23"/>
        <v>0</v>
      </c>
      <c r="N180" s="78">
        <v>-10</v>
      </c>
      <c r="O180" s="78">
        <v>10</v>
      </c>
      <c r="P180" s="78">
        <v>-10</v>
      </c>
      <c r="Q180" s="78">
        <v>0</v>
      </c>
      <c r="R180" s="78">
        <v>0</v>
      </c>
      <c r="S180" s="78">
        <f>IF(OR(F191=N174,F191=O174,F191=P174,F191=Q174,F191=R174),HLOOKUP(F191,N174:R180,3,FALSE),0)</f>
        <v>0</v>
      </c>
      <c r="T180" s="78">
        <f>IF(OR(F192=N174,F192=O174,F192=P174,F192=Q174,F192=R174),HLOOKUP(F192,N174:R180,3,FALSE),0)</f>
        <v>0</v>
      </c>
      <c r="U180" s="78">
        <f t="shared" si="24"/>
        <v>0</v>
      </c>
      <c r="Z180" s="92" t="s">
        <v>687</v>
      </c>
      <c r="AA180" s="1">
        <v>6</v>
      </c>
      <c r="AB180" s="1">
        <v>14</v>
      </c>
      <c r="AC180" s="88" t="s">
        <v>782</v>
      </c>
      <c r="AD180" s="1">
        <v>60</v>
      </c>
      <c r="AE180" s="1">
        <v>6</v>
      </c>
      <c r="AF180" s="1" t="s">
        <v>285</v>
      </c>
      <c r="AG180" s="1" t="s">
        <v>285</v>
      </c>
      <c r="AH180" s="1" t="s">
        <v>285</v>
      </c>
      <c r="AI180" s="1" t="s">
        <v>285</v>
      </c>
      <c r="AJ180" s="1">
        <v>1900</v>
      </c>
      <c r="AL180" s="1">
        <v>2</v>
      </c>
    </row>
    <row r="181" spans="5:38" ht="12.75">
      <c r="E181" s="78">
        <v>6</v>
      </c>
      <c r="F181" s="78">
        <v>1</v>
      </c>
      <c r="H181" s="78">
        <v>6</v>
      </c>
      <c r="I181" s="78">
        <v>2</v>
      </c>
      <c r="K181" s="78" t="s">
        <v>1</v>
      </c>
      <c r="L181" s="1" t="b">
        <v>0</v>
      </c>
      <c r="M181" s="78">
        <f t="shared" si="23"/>
        <v>0</v>
      </c>
      <c r="N181" s="78">
        <v>0</v>
      </c>
      <c r="O181" s="78">
        <v>10</v>
      </c>
      <c r="P181" s="78">
        <v>-10</v>
      </c>
      <c r="Q181" s="78">
        <v>0</v>
      </c>
      <c r="R181" s="78">
        <v>0</v>
      </c>
      <c r="S181" s="78">
        <f>IF(OR(F191=N174,F191=O174,F191=P174,F191=Q174,F191=R174),HLOOKUP(F191,N174:R181,3,FALSE),0)</f>
        <v>0</v>
      </c>
      <c r="T181" s="78">
        <f>IF(OR(F192=N174,F192=O174,F192=P174,F192=Q174,F192=R174),HLOOKUP(F192,N174:R181,3,FALSE),0)</f>
        <v>0</v>
      </c>
      <c r="U181" s="78">
        <f t="shared" si="24"/>
        <v>0</v>
      </c>
      <c r="Z181" s="92" t="s">
        <v>688</v>
      </c>
      <c r="AA181" s="1">
        <v>6</v>
      </c>
      <c r="AB181" s="1">
        <v>15</v>
      </c>
      <c r="AC181" s="88" t="s">
        <v>755</v>
      </c>
      <c r="AD181" s="1">
        <v>50</v>
      </c>
      <c r="AE181" s="1">
        <v>6</v>
      </c>
      <c r="AF181" s="1" t="s">
        <v>285</v>
      </c>
      <c r="AG181" s="1" t="s">
        <v>285</v>
      </c>
      <c r="AH181" s="1" t="s">
        <v>285</v>
      </c>
      <c r="AI181" s="1">
        <v>1</v>
      </c>
      <c r="AJ181" s="1">
        <v>2300</v>
      </c>
      <c r="AL181" s="1">
        <v>2</v>
      </c>
    </row>
    <row r="182" spans="5:38" ht="12.75">
      <c r="E182" s="78">
        <v>7</v>
      </c>
      <c r="F182" s="78">
        <v>2</v>
      </c>
      <c r="H182" s="78">
        <v>7</v>
      </c>
      <c r="I182" s="78">
        <v>2</v>
      </c>
      <c r="K182" s="78" t="s">
        <v>36</v>
      </c>
      <c r="L182" s="1" t="b">
        <v>0</v>
      </c>
      <c r="M182" s="78">
        <f t="shared" si="23"/>
        <v>0</v>
      </c>
      <c r="N182" s="78">
        <v>20</v>
      </c>
      <c r="O182" s="78">
        <v>10</v>
      </c>
      <c r="P182" s="78">
        <v>-10</v>
      </c>
      <c r="Q182" s="78">
        <v>0</v>
      </c>
      <c r="R182" s="78">
        <v>-20</v>
      </c>
      <c r="S182" s="78">
        <f>IF(OR(F191=N174,F191=O174,F191=P174,F191=Q174,F191=R174),HLOOKUP(F191,N174:R182,3,FALSE),0)</f>
        <v>0</v>
      </c>
      <c r="T182" s="78">
        <f>IF(OR(F192=N174,F192=O174,F192=P174,F192=Q174,F192=R174),HLOOKUP(F192,N174:R182,3,FALSE),0)</f>
        <v>0</v>
      </c>
      <c r="U182" s="78">
        <f t="shared" si="24"/>
        <v>0</v>
      </c>
      <c r="Z182" s="92" t="s">
        <v>689</v>
      </c>
      <c r="AA182" s="1">
        <v>6</v>
      </c>
      <c r="AB182" s="1">
        <v>65</v>
      </c>
      <c r="AC182" s="95" t="s">
        <v>783</v>
      </c>
      <c r="AD182" s="1">
        <v>150</v>
      </c>
      <c r="AE182" s="1">
        <v>8</v>
      </c>
      <c r="AF182" s="1" t="s">
        <v>285</v>
      </c>
      <c r="AG182" s="1" t="s">
        <v>285</v>
      </c>
      <c r="AH182" s="1" t="s">
        <v>285</v>
      </c>
      <c r="AI182" s="1">
        <v>1</v>
      </c>
      <c r="AJ182" s="1">
        <v>15000</v>
      </c>
      <c r="AL182" s="1">
        <v>2</v>
      </c>
    </row>
    <row r="183" spans="5:38" ht="12.75">
      <c r="E183" s="78">
        <v>8</v>
      </c>
      <c r="F183" s="78">
        <v>3</v>
      </c>
      <c r="H183" s="78">
        <v>8</v>
      </c>
      <c r="I183" s="78">
        <v>2</v>
      </c>
      <c r="K183" s="78" t="s">
        <v>37</v>
      </c>
      <c r="L183" s="1" t="b">
        <v>0</v>
      </c>
      <c r="M183" s="78">
        <f t="shared" si="23"/>
        <v>0</v>
      </c>
      <c r="N183" s="78">
        <v>20</v>
      </c>
      <c r="O183" s="78">
        <v>10</v>
      </c>
      <c r="P183" s="78">
        <v>-10</v>
      </c>
      <c r="Q183" s="78">
        <v>0</v>
      </c>
      <c r="R183" s="78">
        <v>-20</v>
      </c>
      <c r="S183" s="78">
        <f>IF(OR(F191=N174,F191=O174,F191=P174,F191=Q174,F191=R174),HLOOKUP(F191,N174:R183,3,FALSE),0)</f>
        <v>0</v>
      </c>
      <c r="T183" s="78">
        <f>IF(OR(F192=N174,F192=O174,F192=P174,F192=Q174,F192=R174),HLOOKUP(F192,N174:R183,3,FALSE),0)</f>
        <v>0</v>
      </c>
      <c r="U183" s="78">
        <f t="shared" si="24"/>
        <v>0</v>
      </c>
      <c r="Z183" s="80" t="s">
        <v>1056</v>
      </c>
      <c r="AA183" s="1"/>
      <c r="AB183" s="1"/>
      <c r="AC183" s="88"/>
      <c r="AD183" s="1"/>
      <c r="AE183" s="1"/>
      <c r="AF183" s="1"/>
      <c r="AG183" s="1"/>
      <c r="AL183" s="1"/>
    </row>
    <row r="184" spans="5:38" ht="12.75">
      <c r="E184" s="78">
        <v>9</v>
      </c>
      <c r="F184" s="78">
        <v>4</v>
      </c>
      <c r="H184" s="78">
        <v>9</v>
      </c>
      <c r="I184" s="78">
        <v>3</v>
      </c>
      <c r="K184" s="78" t="s">
        <v>2</v>
      </c>
      <c r="L184" s="1" t="b">
        <v>0</v>
      </c>
      <c r="M184" s="78">
        <f t="shared" si="23"/>
        <v>0</v>
      </c>
      <c r="N184" s="78">
        <v>0</v>
      </c>
      <c r="O184" s="78">
        <v>10</v>
      </c>
      <c r="P184" s="78">
        <v>-10</v>
      </c>
      <c r="Q184" s="78">
        <v>0</v>
      </c>
      <c r="R184" s="78">
        <v>0</v>
      </c>
      <c r="S184" s="78">
        <f>IF(OR(F191=N174,F191=O174,F191=P174,F191=Q174,F191=R174),HLOOKUP(F191,N174:R184,3,FALSE),0)</f>
        <v>0</v>
      </c>
      <c r="T184" s="78">
        <f>IF(OR(F192=N174,F192=O174,F192=P174,F192=Q174,F192=R174),HLOOKUP(F192,N174:R184,3,FALSE),0)</f>
        <v>0</v>
      </c>
      <c r="U184" s="78">
        <f t="shared" si="24"/>
        <v>0</v>
      </c>
      <c r="Z184" s="92" t="s">
        <v>690</v>
      </c>
      <c r="AA184" s="1">
        <v>6</v>
      </c>
      <c r="AB184" s="1">
        <v>28</v>
      </c>
      <c r="AC184" s="88" t="s">
        <v>755</v>
      </c>
      <c r="AD184" s="1">
        <v>20</v>
      </c>
      <c r="AE184" s="1">
        <v>6</v>
      </c>
      <c r="AF184" s="1" t="s">
        <v>285</v>
      </c>
      <c r="AG184" s="1" t="s">
        <v>285</v>
      </c>
      <c r="AH184" s="1" t="s">
        <v>285</v>
      </c>
      <c r="AI184" s="1">
        <v>1</v>
      </c>
      <c r="AJ184" s="1">
        <v>2000</v>
      </c>
      <c r="AL184" s="1">
        <v>2</v>
      </c>
    </row>
    <row r="185" spans="5:38" ht="12.75">
      <c r="E185" s="78">
        <v>10</v>
      </c>
      <c r="F185" s="78">
        <v>5</v>
      </c>
      <c r="H185" s="78">
        <v>10</v>
      </c>
      <c r="I185" s="78">
        <v>3</v>
      </c>
      <c r="K185" s="78" t="s">
        <v>38</v>
      </c>
      <c r="L185" s="1" t="b">
        <v>0</v>
      </c>
      <c r="M185" s="78">
        <f t="shared" si="23"/>
        <v>0</v>
      </c>
      <c r="N185" s="78">
        <v>0</v>
      </c>
      <c r="O185" s="78">
        <v>10</v>
      </c>
      <c r="P185" s="78">
        <v>-10</v>
      </c>
      <c r="Q185" s="78">
        <v>15</v>
      </c>
      <c r="R185" s="78">
        <v>-20</v>
      </c>
      <c r="S185" s="78">
        <f>IF(OR(F191=N174,F191=O174,F191=P174,F191=Q174,F191=R174),HLOOKUP(F191,N174:R185,3,FALSE),0)</f>
        <v>0</v>
      </c>
      <c r="T185" s="78">
        <f>IF(OR(F192=N174,F192=O174,F192=P174,F192=Q174,F192=R174),HLOOKUP(F192,N174:R185,3,FALSE),0)</f>
        <v>0</v>
      </c>
      <c r="U185" s="78">
        <f t="shared" si="24"/>
        <v>0</v>
      </c>
      <c r="Z185" s="92" t="s">
        <v>691</v>
      </c>
      <c r="AA185" s="1">
        <v>6</v>
      </c>
      <c r="AB185" s="1">
        <v>20</v>
      </c>
      <c r="AC185" s="88" t="s">
        <v>755</v>
      </c>
      <c r="AD185" s="1">
        <v>23</v>
      </c>
      <c r="AE185" s="1">
        <v>6</v>
      </c>
      <c r="AF185" s="1" t="s">
        <v>285</v>
      </c>
      <c r="AG185" s="1" t="s">
        <v>285</v>
      </c>
      <c r="AH185" s="1" t="s">
        <v>285</v>
      </c>
      <c r="AI185" s="1">
        <v>1</v>
      </c>
      <c r="AJ185" s="1">
        <v>3000</v>
      </c>
      <c r="AL185" s="1">
        <v>2</v>
      </c>
    </row>
    <row r="186" spans="5:33" ht="12.75">
      <c r="E186" s="78">
        <v>11</v>
      </c>
      <c r="F186" s="78">
        <v>5</v>
      </c>
      <c r="H186" s="78">
        <v>11</v>
      </c>
      <c r="I186" s="78">
        <v>3</v>
      </c>
      <c r="K186" s="78" t="s">
        <v>3</v>
      </c>
      <c r="L186" s="1" t="b">
        <v>0</v>
      </c>
      <c r="M186" s="78">
        <f t="shared" si="23"/>
        <v>0</v>
      </c>
      <c r="N186" s="78">
        <v>0</v>
      </c>
      <c r="O186" s="78">
        <v>10</v>
      </c>
      <c r="P186" s="78">
        <v>-10</v>
      </c>
      <c r="Q186" s="78">
        <v>0</v>
      </c>
      <c r="R186" s="78">
        <v>0</v>
      </c>
      <c r="S186" s="78">
        <f>IF(OR(F191=N174,F191=O174,F191=P174,F191=Q174,F191=R174),HLOOKUP(F191,N174:R186,3,FALSE),0)</f>
        <v>0</v>
      </c>
      <c r="T186" s="78">
        <f>IF(OR(F192=N174,F192=O174,F192=P174,F192=Q174,F192=R174),HLOOKUP(F192,N174:R186,3,FALSE),0)</f>
        <v>0</v>
      </c>
      <c r="U186" s="78">
        <f t="shared" si="24"/>
        <v>0</v>
      </c>
      <c r="Z186" s="94" t="s">
        <v>1057</v>
      </c>
      <c r="AA186" s="1"/>
      <c r="AB186" s="1"/>
      <c r="AC186" s="88"/>
      <c r="AD186" s="1"/>
      <c r="AE186" s="1"/>
      <c r="AF186" s="1"/>
      <c r="AG186" s="1"/>
    </row>
    <row r="187" spans="5:38" ht="12.75">
      <c r="E187" s="78">
        <v>12</v>
      </c>
      <c r="F187" s="78">
        <v>5</v>
      </c>
      <c r="H187" s="78">
        <v>12</v>
      </c>
      <c r="I187" s="78">
        <v>3</v>
      </c>
      <c r="K187" s="78" t="s">
        <v>4</v>
      </c>
      <c r="L187" s="1" t="b">
        <v>0</v>
      </c>
      <c r="M187" s="78">
        <f t="shared" si="23"/>
        <v>0</v>
      </c>
      <c r="N187" s="78">
        <v>0</v>
      </c>
      <c r="O187" s="78">
        <v>10</v>
      </c>
      <c r="P187" s="78">
        <v>-10</v>
      </c>
      <c r="Q187" s="78">
        <v>0</v>
      </c>
      <c r="R187" s="78">
        <v>0</v>
      </c>
      <c r="S187" s="78">
        <f>IF(OR(F191=N174,F191=O174,F191=P174,F191=Q174,F191=R174),HLOOKUP(F191,N174:R187,3,FALSE),0)</f>
        <v>0</v>
      </c>
      <c r="T187" s="78">
        <f>IF(OR(F192=N174,F192=O174,F192=P174,F192=Q174,F192=R174),HLOOKUP(F192,N174:R187,3,FALSE),0)</f>
        <v>0</v>
      </c>
      <c r="U187" s="78">
        <f t="shared" si="24"/>
        <v>0</v>
      </c>
      <c r="Z187" s="92" t="s">
        <v>692</v>
      </c>
      <c r="AA187" s="1">
        <v>3</v>
      </c>
      <c r="AB187" s="1">
        <v>6</v>
      </c>
      <c r="AC187" s="88" t="s">
        <v>784</v>
      </c>
      <c r="AD187" s="1">
        <v>25</v>
      </c>
      <c r="AE187" s="1">
        <v>5</v>
      </c>
      <c r="AF187" s="1">
        <v>6</v>
      </c>
      <c r="AG187" s="1" t="s">
        <v>285</v>
      </c>
      <c r="AH187" s="1" t="s">
        <v>285</v>
      </c>
      <c r="AI187" s="1">
        <v>10</v>
      </c>
      <c r="AJ187" s="1">
        <v>1200</v>
      </c>
      <c r="AL187" s="1">
        <v>2</v>
      </c>
    </row>
    <row r="188" spans="5:38" ht="12.75">
      <c r="E188" s="78">
        <v>13</v>
      </c>
      <c r="F188" s="78">
        <v>5</v>
      </c>
      <c r="H188" s="78">
        <v>13</v>
      </c>
      <c r="I188" s="78">
        <v>3</v>
      </c>
      <c r="K188" s="78" t="s">
        <v>39</v>
      </c>
      <c r="L188" s="1" t="b">
        <v>0</v>
      </c>
      <c r="M188" s="78">
        <f t="shared" si="23"/>
        <v>0</v>
      </c>
      <c r="N188" s="78">
        <v>0</v>
      </c>
      <c r="O188" s="78">
        <v>10</v>
      </c>
      <c r="P188" s="78">
        <v>-10</v>
      </c>
      <c r="Q188" s="78">
        <v>15</v>
      </c>
      <c r="R188" s="78">
        <v>-20</v>
      </c>
      <c r="S188" s="78">
        <f>IF(OR(F191=N174,F191=O174,F191=P174,F191=Q174,F191=R174),HLOOKUP(F191,N174:R188,3,FALSE),0)</f>
        <v>0</v>
      </c>
      <c r="T188" s="78">
        <f>IF(OR(F192=N174,F192=O174,F192=P174,F192=Q174,F192=R174),HLOOKUP(F192,N174:R188,3,FALSE),0)</f>
        <v>0</v>
      </c>
      <c r="U188" s="78">
        <f t="shared" si="24"/>
        <v>0</v>
      </c>
      <c r="Z188" s="92" t="s">
        <v>693</v>
      </c>
      <c r="AA188" s="1">
        <v>3</v>
      </c>
      <c r="AB188" s="1">
        <v>7</v>
      </c>
      <c r="AC188" s="88" t="s">
        <v>785</v>
      </c>
      <c r="AD188" s="1">
        <v>35</v>
      </c>
      <c r="AE188" s="1">
        <v>5</v>
      </c>
      <c r="AF188" s="1">
        <v>6</v>
      </c>
      <c r="AG188" s="1" t="s">
        <v>285</v>
      </c>
      <c r="AH188" s="1" t="s">
        <v>285</v>
      </c>
      <c r="AI188" s="1">
        <v>12</v>
      </c>
      <c r="AJ188" s="1">
        <v>1400</v>
      </c>
      <c r="AL188" s="1">
        <v>2</v>
      </c>
    </row>
    <row r="189" spans="5:38" ht="12.75">
      <c r="E189" s="78">
        <v>14</v>
      </c>
      <c r="F189" s="78">
        <v>5</v>
      </c>
      <c r="K189" s="78" t="s">
        <v>5</v>
      </c>
      <c r="L189" s="1" t="b">
        <v>0</v>
      </c>
      <c r="M189" s="78">
        <f t="shared" si="23"/>
        <v>0</v>
      </c>
      <c r="N189" s="78">
        <v>0</v>
      </c>
      <c r="O189" s="78">
        <v>10</v>
      </c>
      <c r="P189" s="78">
        <v>-10</v>
      </c>
      <c r="Q189" s="78">
        <v>15</v>
      </c>
      <c r="R189" s="78">
        <v>-20</v>
      </c>
      <c r="S189" s="78">
        <f>IF(OR(F191=N174,F191=O174,F191=P174,F191=Q174,F191=R174),HLOOKUP(F191,N174:R189,3,FALSE),0)</f>
        <v>0</v>
      </c>
      <c r="T189" s="78">
        <f>IF(OR(F192=N174,F192=O174,F192=P174,F192=Q174,F192=R174),HLOOKUP(F192,N174:R189,3,FALSE),0)</f>
        <v>0</v>
      </c>
      <c r="U189" s="78">
        <f t="shared" si="24"/>
        <v>0</v>
      </c>
      <c r="Z189" s="92" t="s">
        <v>694</v>
      </c>
      <c r="AA189" s="1">
        <v>4</v>
      </c>
      <c r="AB189" s="1">
        <v>10</v>
      </c>
      <c r="AC189" s="88" t="s">
        <v>786</v>
      </c>
      <c r="AD189" s="1">
        <v>20</v>
      </c>
      <c r="AE189" s="1">
        <v>4</v>
      </c>
      <c r="AF189" s="1">
        <v>5</v>
      </c>
      <c r="AG189" s="1" t="s">
        <v>285</v>
      </c>
      <c r="AH189" s="1" t="s">
        <v>285</v>
      </c>
      <c r="AI189" s="1">
        <v>6</v>
      </c>
      <c r="AJ189" s="1">
        <v>2000</v>
      </c>
      <c r="AL189" s="1">
        <v>2</v>
      </c>
    </row>
    <row r="190" spans="11:38" ht="12.75">
      <c r="K190" s="78" t="s">
        <v>9</v>
      </c>
      <c r="L190" s="1" t="b">
        <v>0</v>
      </c>
      <c r="M190" s="78">
        <f t="shared" si="23"/>
        <v>0</v>
      </c>
      <c r="N190" s="78">
        <v>0</v>
      </c>
      <c r="O190" s="78">
        <v>10</v>
      </c>
      <c r="P190" s="78">
        <v>-10</v>
      </c>
      <c r="Q190" s="78">
        <v>0</v>
      </c>
      <c r="R190" s="78">
        <v>0</v>
      </c>
      <c r="S190" s="78">
        <f>IF(OR(F191=N174,F191=O174,F191=P174,F191=Q174,F191=R174),HLOOKUP(F191,N174:R190,3,FALSE),0)</f>
        <v>0</v>
      </c>
      <c r="T190" s="78">
        <f>IF(OR(F192=N174,F192=O174,F192=P174,F192=Q174,F192=R174),HLOOKUP(F192,N174:R190,3,FALSE),0)</f>
        <v>0</v>
      </c>
      <c r="U190" s="78">
        <f t="shared" si="24"/>
        <v>0</v>
      </c>
      <c r="Z190" s="92" t="s">
        <v>695</v>
      </c>
      <c r="AA190" s="1">
        <v>4</v>
      </c>
      <c r="AB190" s="1">
        <v>6</v>
      </c>
      <c r="AC190" s="88" t="s">
        <v>787</v>
      </c>
      <c r="AD190" s="1">
        <v>30</v>
      </c>
      <c r="AE190" s="1">
        <v>4</v>
      </c>
      <c r="AF190" s="1">
        <v>5</v>
      </c>
      <c r="AG190" s="1" t="s">
        <v>285</v>
      </c>
      <c r="AH190" s="1" t="s">
        <v>285</v>
      </c>
      <c r="AI190" s="1">
        <v>20</v>
      </c>
      <c r="AJ190" s="1">
        <v>1500</v>
      </c>
      <c r="AL190" s="1">
        <v>2</v>
      </c>
    </row>
    <row r="191" spans="5:38" ht="12.75">
      <c r="E191" s="78" t="s">
        <v>149</v>
      </c>
      <c r="F191" s="78">
        <v>1</v>
      </c>
      <c r="H191" s="78">
        <v>5</v>
      </c>
      <c r="K191" s="78" t="s">
        <v>6</v>
      </c>
      <c r="L191" s="1" t="b">
        <v>0</v>
      </c>
      <c r="M191" s="78">
        <f t="shared" si="23"/>
        <v>0</v>
      </c>
      <c r="N191" s="78">
        <v>20</v>
      </c>
      <c r="O191" s="78">
        <v>10</v>
      </c>
      <c r="P191" s="78">
        <v>-10</v>
      </c>
      <c r="Q191" s="78">
        <v>0</v>
      </c>
      <c r="R191" s="78">
        <v>0</v>
      </c>
      <c r="S191" s="78">
        <f>IF(OR(F191=N174,F191=O174,F191=P174,F191=Q174,F191=R174),HLOOKUP(F191,N174:R191,3,FALSE),0)</f>
        <v>0</v>
      </c>
      <c r="T191" s="78">
        <f>IF(OR(F192=N174,F192=O174,F192=P174,F192=Q174,F192=R174),HLOOKUP(F192,N174:R191,3,FALSE),0)</f>
        <v>0</v>
      </c>
      <c r="U191" s="78">
        <f t="shared" si="24"/>
        <v>0</v>
      </c>
      <c r="Z191" s="92" t="s">
        <v>696</v>
      </c>
      <c r="AA191" s="1">
        <v>4</v>
      </c>
      <c r="AB191" s="1">
        <v>8</v>
      </c>
      <c r="AC191" s="88" t="s">
        <v>788</v>
      </c>
      <c r="AD191" s="1">
        <v>20</v>
      </c>
      <c r="AE191" s="1">
        <v>5</v>
      </c>
      <c r="AF191" s="1">
        <v>6</v>
      </c>
      <c r="AG191" s="1" t="s">
        <v>285</v>
      </c>
      <c r="AH191" s="1" t="s">
        <v>285</v>
      </c>
      <c r="AI191" s="1">
        <v>16</v>
      </c>
      <c r="AJ191" s="1">
        <v>2750</v>
      </c>
      <c r="AL191" s="1">
        <v>2</v>
      </c>
    </row>
    <row r="192" spans="5:38" ht="12.75">
      <c r="E192" s="78" t="s">
        <v>150</v>
      </c>
      <c r="F192" s="78">
        <v>1</v>
      </c>
      <c r="H192" s="78">
        <f>SUM(Игрок1!K189,Игрок1!K191,Игрок1!K193,Игрок1!K195,Игрок1!K197,Игрок1!K199,Игрок1!K201)</f>
        <v>0</v>
      </c>
      <c r="K192" s="78" t="s">
        <v>7</v>
      </c>
      <c r="L192" s="1" t="b">
        <v>0</v>
      </c>
      <c r="M192" s="78">
        <f t="shared" si="23"/>
        <v>0</v>
      </c>
      <c r="N192" s="78">
        <v>20</v>
      </c>
      <c r="O192" s="78">
        <v>10</v>
      </c>
      <c r="P192" s="78">
        <v>-10</v>
      </c>
      <c r="Q192" s="78">
        <v>0</v>
      </c>
      <c r="R192" s="78">
        <v>0</v>
      </c>
      <c r="S192" s="78">
        <f>IF(OR(F191=N174,F191=O174,F191=P174,F191=Q174,F191=R174),HLOOKUP(F191,N174:R192,3,FALSE),0)</f>
        <v>0</v>
      </c>
      <c r="T192" s="78">
        <f>IF(OR(F192=N174,F192=O174,F192=P174,F192=Q174,F192=R174),HLOOKUP(F192,N174:R192,3,FALSE),0)</f>
        <v>0</v>
      </c>
      <c r="U192" s="78">
        <f t="shared" si="24"/>
        <v>0</v>
      </c>
      <c r="Z192" s="92" t="s">
        <v>697</v>
      </c>
      <c r="AA192" s="1">
        <v>3</v>
      </c>
      <c r="AB192" s="1">
        <v>29</v>
      </c>
      <c r="AC192" s="88" t="s">
        <v>789</v>
      </c>
      <c r="AD192" s="1">
        <v>10</v>
      </c>
      <c r="AE192" s="1">
        <v>4</v>
      </c>
      <c r="AF192" s="1">
        <v>5</v>
      </c>
      <c r="AG192" s="1" t="s">
        <v>285</v>
      </c>
      <c r="AH192" s="1" t="s">
        <v>285</v>
      </c>
      <c r="AI192" s="1">
        <v>10</v>
      </c>
      <c r="AJ192" s="1">
        <v>10000</v>
      </c>
      <c r="AL192" s="1">
        <v>2</v>
      </c>
    </row>
    <row r="193" spans="11:38" ht="12.75">
      <c r="K193" s="78" t="s">
        <v>40</v>
      </c>
      <c r="L193" s="1" t="b">
        <v>0</v>
      </c>
      <c r="M193" s="78">
        <f t="shared" si="23"/>
        <v>0</v>
      </c>
      <c r="N193" s="78">
        <v>0</v>
      </c>
      <c r="O193" s="78">
        <v>10</v>
      </c>
      <c r="P193" s="78">
        <v>-10</v>
      </c>
      <c r="Q193" s="78">
        <v>0</v>
      </c>
      <c r="R193" s="78">
        <v>0</v>
      </c>
      <c r="S193" s="78">
        <f>IF(OR(F191=N174,F191=O174,F191=P174,F191=Q174,F191=R174),HLOOKUP(F191,N174:R193,3,FALSE),0)</f>
        <v>0</v>
      </c>
      <c r="T193" s="78">
        <f>IF(OR(F192=N174,F192=O174,F192=P174,F192=Q174,F192=R174),HLOOKUP(F192,N174:R193,3,FALSE),0)</f>
        <v>0</v>
      </c>
      <c r="U193" s="78">
        <f t="shared" si="24"/>
        <v>0</v>
      </c>
      <c r="Z193" s="92" t="s">
        <v>698</v>
      </c>
      <c r="AA193" s="1">
        <v>3</v>
      </c>
      <c r="AB193" s="1">
        <v>5</v>
      </c>
      <c r="AC193" s="88" t="s">
        <v>790</v>
      </c>
      <c r="AD193" s="1">
        <v>15</v>
      </c>
      <c r="AE193" s="1">
        <v>4</v>
      </c>
      <c r="AF193" s="1">
        <v>5</v>
      </c>
      <c r="AG193" s="1" t="s">
        <v>285</v>
      </c>
      <c r="AH193" s="1" t="s">
        <v>285</v>
      </c>
      <c r="AI193" s="1">
        <v>10</v>
      </c>
      <c r="AJ193" s="1">
        <v>12500</v>
      </c>
      <c r="AL193" s="1">
        <v>2</v>
      </c>
    </row>
    <row r="194" spans="11:38" ht="12.75">
      <c r="K194" s="78" t="s">
        <v>41</v>
      </c>
      <c r="L194" s="1" t="b">
        <v>0</v>
      </c>
      <c r="M194" s="78">
        <f t="shared" si="23"/>
        <v>0</v>
      </c>
      <c r="N194" s="78">
        <v>0</v>
      </c>
      <c r="O194" s="78">
        <v>10</v>
      </c>
      <c r="P194" s="78">
        <v>-10</v>
      </c>
      <c r="Q194" s="78">
        <v>0</v>
      </c>
      <c r="R194" s="78">
        <v>0</v>
      </c>
      <c r="S194" s="78">
        <f>IF(OR(F191=N174,F191=O174,F191=P174,F191=Q174,F191=R174),HLOOKUP(F191,N174:R194,3,FALSE),0)</f>
        <v>0</v>
      </c>
      <c r="T194" s="78">
        <f>IF(OR(F192=N174,F192=O174,F192=P174,F192=Q174,F192=R174),HLOOKUP(F192,N174:R194,3,FALSE),0)</f>
        <v>0</v>
      </c>
      <c r="U194" s="78">
        <f t="shared" si="24"/>
        <v>0</v>
      </c>
      <c r="Z194" s="92" t="s">
        <v>699</v>
      </c>
      <c r="AA194" s="1">
        <v>6</v>
      </c>
      <c r="AB194" s="1">
        <v>13</v>
      </c>
      <c r="AC194" s="88" t="s">
        <v>791</v>
      </c>
      <c r="AD194" s="1">
        <v>20</v>
      </c>
      <c r="AE194" s="1">
        <v>5</v>
      </c>
      <c r="AF194" s="1">
        <v>6</v>
      </c>
      <c r="AG194" s="1" t="s">
        <v>285</v>
      </c>
      <c r="AH194" s="1" t="s">
        <v>285</v>
      </c>
      <c r="AI194" s="1">
        <v>20</v>
      </c>
      <c r="AJ194" s="1">
        <v>3500</v>
      </c>
      <c r="AL194" s="1">
        <v>2</v>
      </c>
    </row>
    <row r="195" spans="26:38" ht="12.75">
      <c r="Z195" s="92" t="s">
        <v>700</v>
      </c>
      <c r="AA195" s="1">
        <v>6</v>
      </c>
      <c r="AB195" s="1">
        <v>17</v>
      </c>
      <c r="AC195" s="88" t="s">
        <v>792</v>
      </c>
      <c r="AD195" s="1">
        <v>25</v>
      </c>
      <c r="AE195" s="1">
        <v>5</v>
      </c>
      <c r="AF195" s="1">
        <v>6</v>
      </c>
      <c r="AG195" s="1" t="s">
        <v>285</v>
      </c>
      <c r="AH195" s="1" t="s">
        <v>285</v>
      </c>
      <c r="AI195" s="1">
        <v>10</v>
      </c>
      <c r="AJ195" s="1">
        <v>4000</v>
      </c>
      <c r="AL195" s="1">
        <v>2</v>
      </c>
    </row>
    <row r="196" spans="26:38" ht="12.75">
      <c r="Z196" s="92" t="s">
        <v>701</v>
      </c>
      <c r="AA196" s="1">
        <v>5</v>
      </c>
      <c r="AB196" s="1">
        <v>12</v>
      </c>
      <c r="AC196" s="88" t="s">
        <v>793</v>
      </c>
      <c r="AD196" s="1">
        <v>45</v>
      </c>
      <c r="AE196" s="1">
        <v>5</v>
      </c>
      <c r="AF196" s="1">
        <v>6</v>
      </c>
      <c r="AG196" s="1" t="s">
        <v>285</v>
      </c>
      <c r="AH196" s="1" t="s">
        <v>285</v>
      </c>
      <c r="AI196" s="1">
        <v>12</v>
      </c>
      <c r="AJ196" s="1">
        <v>4500</v>
      </c>
      <c r="AL196" s="1">
        <v>2</v>
      </c>
    </row>
    <row r="197" spans="26:38" ht="12.75">
      <c r="Z197" s="92" t="s">
        <v>702</v>
      </c>
      <c r="AA197" s="1">
        <v>4</v>
      </c>
      <c r="AB197" s="1">
        <v>7</v>
      </c>
      <c r="AC197" s="88" t="s">
        <v>794</v>
      </c>
      <c r="AD197" s="1">
        <v>35</v>
      </c>
      <c r="AE197" s="1">
        <v>5</v>
      </c>
      <c r="AF197" s="1">
        <v>6</v>
      </c>
      <c r="AG197" s="1" t="s">
        <v>285</v>
      </c>
      <c r="AH197" s="1" t="s">
        <v>285</v>
      </c>
      <c r="AI197" s="1">
        <v>20</v>
      </c>
      <c r="AJ197" s="1">
        <v>5000</v>
      </c>
      <c r="AL197" s="1">
        <v>2</v>
      </c>
    </row>
    <row r="198" spans="26:38" ht="12.75">
      <c r="Z198" s="92" t="s">
        <v>703</v>
      </c>
      <c r="AA198" s="1">
        <v>6</v>
      </c>
      <c r="AB198" s="1">
        <v>17</v>
      </c>
      <c r="AC198" s="88" t="s">
        <v>795</v>
      </c>
      <c r="AD198" s="1">
        <v>35</v>
      </c>
      <c r="AE198" s="1">
        <v>5</v>
      </c>
      <c r="AF198" s="1">
        <v>6</v>
      </c>
      <c r="AG198" s="1" t="s">
        <v>285</v>
      </c>
      <c r="AH198" s="1" t="s">
        <v>285</v>
      </c>
      <c r="AI198" s="1">
        <v>10</v>
      </c>
      <c r="AJ198" s="1">
        <v>10000</v>
      </c>
      <c r="AL198" s="1">
        <v>2</v>
      </c>
    </row>
    <row r="199" spans="26:38" ht="12.75">
      <c r="Z199" s="92" t="s">
        <v>704</v>
      </c>
      <c r="AA199" s="1">
        <v>3</v>
      </c>
      <c r="AB199" s="1">
        <v>14</v>
      </c>
      <c r="AC199" s="88" t="s">
        <v>796</v>
      </c>
      <c r="AD199" s="1">
        <v>30</v>
      </c>
      <c r="AE199" s="1">
        <v>5</v>
      </c>
      <c r="AF199" s="1">
        <v>6</v>
      </c>
      <c r="AG199" s="1" t="s">
        <v>285</v>
      </c>
      <c r="AH199" s="1" t="s">
        <v>285</v>
      </c>
      <c r="AI199" s="1">
        <v>15</v>
      </c>
      <c r="AJ199" s="1">
        <v>17500</v>
      </c>
      <c r="AL199" s="1">
        <v>2</v>
      </c>
    </row>
    <row r="200" spans="14:38" ht="12.75">
      <c r="N200" s="78">
        <v>12</v>
      </c>
      <c r="O200" s="1">
        <v>16</v>
      </c>
      <c r="P200" s="89">
        <v>17</v>
      </c>
      <c r="Q200" s="89">
        <v>20</v>
      </c>
      <c r="R200" s="1">
        <v>23</v>
      </c>
      <c r="Z200" s="92" t="s">
        <v>705</v>
      </c>
      <c r="AA200" s="1">
        <v>6</v>
      </c>
      <c r="AB200" s="1">
        <v>29</v>
      </c>
      <c r="AC200" s="88" t="s">
        <v>797</v>
      </c>
      <c r="AD200" s="1">
        <v>40</v>
      </c>
      <c r="AE200" s="1" t="s">
        <v>285</v>
      </c>
      <c r="AF200" s="1" t="s">
        <v>285</v>
      </c>
      <c r="AG200" s="1">
        <v>6</v>
      </c>
      <c r="AH200" s="1">
        <v>10</v>
      </c>
      <c r="AI200" s="1">
        <v>30</v>
      </c>
      <c r="AJ200" s="1">
        <v>7500</v>
      </c>
      <c r="AL200" s="1">
        <v>2</v>
      </c>
    </row>
    <row r="201" spans="4:38" ht="12.75">
      <c r="D201" s="78" t="s">
        <v>141</v>
      </c>
      <c r="E201" s="1" t="s">
        <v>114</v>
      </c>
      <c r="F201" s="1" t="s">
        <v>129</v>
      </c>
      <c r="G201" s="2" t="s">
        <v>142</v>
      </c>
      <c r="H201" s="1" t="s">
        <v>116</v>
      </c>
      <c r="I201" s="1" t="s">
        <v>152</v>
      </c>
      <c r="K201" s="1" t="s">
        <v>73</v>
      </c>
      <c r="L201" s="84" t="s">
        <v>93</v>
      </c>
      <c r="M201" s="1" t="s">
        <v>153</v>
      </c>
      <c r="N201" s="1" t="s">
        <v>166</v>
      </c>
      <c r="O201" s="1" t="s">
        <v>170</v>
      </c>
      <c r="P201" s="1" t="s">
        <v>171</v>
      </c>
      <c r="Q201" s="1" t="s">
        <v>54</v>
      </c>
      <c r="R201" s="1" t="s">
        <v>55</v>
      </c>
      <c r="S201" s="1" t="s">
        <v>215</v>
      </c>
      <c r="T201" s="1" t="s">
        <v>216</v>
      </c>
      <c r="U201" s="1" t="s">
        <v>75</v>
      </c>
      <c r="Z201" s="92" t="s">
        <v>706</v>
      </c>
      <c r="AA201" s="1">
        <v>5</v>
      </c>
      <c r="AB201" s="1">
        <v>30</v>
      </c>
      <c r="AC201" s="88" t="s">
        <v>798</v>
      </c>
      <c r="AD201" s="1">
        <v>30</v>
      </c>
      <c r="AE201" s="1">
        <v>5</v>
      </c>
      <c r="AF201" s="1" t="s">
        <v>285</v>
      </c>
      <c r="AG201" s="1" t="s">
        <v>285</v>
      </c>
      <c r="AH201" s="1" t="s">
        <v>285</v>
      </c>
      <c r="AI201" s="1">
        <v>20</v>
      </c>
      <c r="AJ201" s="1">
        <v>14000</v>
      </c>
      <c r="AL201" s="1">
        <v>2</v>
      </c>
    </row>
    <row r="202" spans="5:38" ht="12.75">
      <c r="E202" s="78">
        <v>1</v>
      </c>
      <c r="F202" s="78">
        <v>1</v>
      </c>
      <c r="H202" s="78">
        <v>1</v>
      </c>
      <c r="I202" s="78">
        <v>1</v>
      </c>
      <c r="K202" s="78" t="s">
        <v>32</v>
      </c>
      <c r="L202" s="1" t="b">
        <v>0</v>
      </c>
      <c r="M202" s="78">
        <f>IF(L202=TRUE,20,0)</f>
        <v>0</v>
      </c>
      <c r="N202" s="78">
        <v>-10</v>
      </c>
      <c r="O202" s="78">
        <v>10</v>
      </c>
      <c r="P202" s="78">
        <v>-10</v>
      </c>
      <c r="Q202" s="78">
        <v>0</v>
      </c>
      <c r="R202" s="78">
        <v>-20</v>
      </c>
      <c r="S202" s="78">
        <f>IF(OR(F218=N200,F218=O200,F218=P200,F218=Q200,F218=R200),HLOOKUP(F218,N200:R202,3,FALSE),0)</f>
        <v>0</v>
      </c>
      <c r="T202" s="78">
        <f>IF(OR(F219=N200,F219=O200,F219=P200,F219=Q200,F219=R200),HLOOKUP(F219,N200:R202,3,FALSE),0)</f>
        <v>0</v>
      </c>
      <c r="U202" s="78">
        <f>SUM(S202:T202)</f>
        <v>0</v>
      </c>
      <c r="Z202" s="92" t="s">
        <v>707</v>
      </c>
      <c r="AA202" s="1">
        <v>6</v>
      </c>
      <c r="AB202" s="1">
        <v>30</v>
      </c>
      <c r="AC202" s="88" t="s">
        <v>799</v>
      </c>
      <c r="AD202" s="1">
        <v>50</v>
      </c>
      <c r="AE202" s="1">
        <v>6</v>
      </c>
      <c r="AF202" s="1" t="s">
        <v>285</v>
      </c>
      <c r="AG202" s="1" t="s">
        <v>285</v>
      </c>
      <c r="AH202" s="1" t="s">
        <v>285</v>
      </c>
      <c r="AI202" s="1">
        <v>10</v>
      </c>
      <c r="AJ202" s="1">
        <v>16000</v>
      </c>
      <c r="AL202" s="1">
        <v>2</v>
      </c>
    </row>
    <row r="203" spans="5:33" ht="12.75">
      <c r="E203" s="78">
        <v>2</v>
      </c>
      <c r="F203" s="78">
        <v>1</v>
      </c>
      <c r="H203" s="78">
        <v>2</v>
      </c>
      <c r="I203" s="78">
        <v>1</v>
      </c>
      <c r="K203" s="78" t="s">
        <v>33</v>
      </c>
      <c r="L203" s="1" t="b">
        <v>0</v>
      </c>
      <c r="M203" s="78">
        <f aca="true" t="shared" si="25" ref="M203:M220">IF(L203=TRUE,20,0)</f>
        <v>0</v>
      </c>
      <c r="N203" s="78">
        <v>-10</v>
      </c>
      <c r="O203" s="78">
        <v>10</v>
      </c>
      <c r="P203" s="78">
        <v>-10</v>
      </c>
      <c r="Q203" s="78">
        <v>0</v>
      </c>
      <c r="R203" s="78">
        <v>0</v>
      </c>
      <c r="S203" s="78">
        <f>IF(OR(F218=N200,F218=O200,F218=P200,F218=Q200,F218=R200),HLOOKUP(F218,N200:R203,3,FALSE),0)</f>
        <v>0</v>
      </c>
      <c r="T203" s="78">
        <f>IF(OR(F219=N200,F219=O200,F219=P200,F219=Q200,F219=R200),HLOOKUP(F219,N200:R203,3,FALSE),0)</f>
        <v>0</v>
      </c>
      <c r="U203" s="78">
        <f aca="true" t="shared" si="26" ref="U203:U220">SUM(S203:T203)</f>
        <v>0</v>
      </c>
      <c r="Z203" s="94" t="s">
        <v>1048</v>
      </c>
      <c r="AA203" s="1"/>
      <c r="AB203" s="1"/>
      <c r="AC203" s="1"/>
      <c r="AD203" s="1"/>
      <c r="AE203" s="1"/>
      <c r="AF203" s="1"/>
      <c r="AG203" s="1"/>
    </row>
    <row r="204" spans="5:38" ht="12.75">
      <c r="E204" s="78">
        <v>3</v>
      </c>
      <c r="F204" s="78">
        <v>1</v>
      </c>
      <c r="H204" s="78">
        <v>3</v>
      </c>
      <c r="I204" s="78">
        <v>1</v>
      </c>
      <c r="K204" s="78" t="s">
        <v>34</v>
      </c>
      <c r="L204" s="1" t="b">
        <v>0</v>
      </c>
      <c r="M204" s="78">
        <f t="shared" si="25"/>
        <v>0</v>
      </c>
      <c r="N204" s="78">
        <v>-10</v>
      </c>
      <c r="O204" s="78">
        <v>10</v>
      </c>
      <c r="P204" s="78">
        <v>-10</v>
      </c>
      <c r="Q204" s="78">
        <v>0</v>
      </c>
      <c r="R204" s="78">
        <v>0</v>
      </c>
      <c r="S204" s="78">
        <f>IF(OR(F218=N200,F218=O200,F218=P200,F218=Q200,F218=R200),HLOOKUP(F218,N200:R204,3,FALSE),0)</f>
        <v>0</v>
      </c>
      <c r="T204" s="78">
        <f>IF(OR(F219=N200,F219=O200,F219=P200,F219=Q200,F219=R200),HLOOKUP(F219,N200:R204,3,FALSE),0)</f>
        <v>0</v>
      </c>
      <c r="U204" s="78">
        <f t="shared" si="26"/>
        <v>0</v>
      </c>
      <c r="Z204" s="92" t="s">
        <v>355</v>
      </c>
      <c r="AA204" s="1">
        <v>1</v>
      </c>
      <c r="AB204" s="1">
        <v>1</v>
      </c>
      <c r="AC204" s="1" t="s">
        <v>342</v>
      </c>
      <c r="AD204" s="1">
        <v>10</v>
      </c>
      <c r="AE204" s="1">
        <v>4</v>
      </c>
      <c r="AF204" s="1">
        <v>5</v>
      </c>
      <c r="AG204" s="1" t="s">
        <v>285</v>
      </c>
      <c r="AH204" s="1" t="s">
        <v>285</v>
      </c>
      <c r="AI204" s="1" t="s">
        <v>285</v>
      </c>
      <c r="AJ204" s="1" t="s">
        <v>285</v>
      </c>
      <c r="AL204" s="1">
        <v>6</v>
      </c>
    </row>
    <row r="205" spans="5:38" ht="12.75">
      <c r="E205" s="78">
        <v>4</v>
      </c>
      <c r="F205" s="78">
        <v>1</v>
      </c>
      <c r="H205" s="78">
        <v>4</v>
      </c>
      <c r="I205" s="78">
        <v>1</v>
      </c>
      <c r="K205" s="78" t="s">
        <v>35</v>
      </c>
      <c r="L205" s="1" t="b">
        <v>0</v>
      </c>
      <c r="M205" s="78">
        <f t="shared" si="25"/>
        <v>0</v>
      </c>
      <c r="N205" s="78">
        <v>-10</v>
      </c>
      <c r="O205" s="78">
        <v>10</v>
      </c>
      <c r="P205" s="78">
        <v>-10</v>
      </c>
      <c r="Q205" s="78">
        <v>0</v>
      </c>
      <c r="R205" s="78">
        <v>20</v>
      </c>
      <c r="S205" s="78">
        <f>IF(OR(F218=N200,F218=O200,F218=P200,F218=Q200,F218=R200),HLOOKUP(F218,N200:R205,3,FALSE),0)</f>
        <v>0</v>
      </c>
      <c r="T205" s="78">
        <f>IF(OR(F219=N200,F219=O200,F219=P200,F219=Q200,F219=R200),HLOOKUP(F219,N200:R205,3,FALSE),0)</f>
        <v>0</v>
      </c>
      <c r="U205" s="78">
        <f t="shared" si="26"/>
        <v>0</v>
      </c>
      <c r="Z205" s="92" t="s">
        <v>401</v>
      </c>
      <c r="AA205" s="1">
        <v>1</v>
      </c>
      <c r="AB205" s="1">
        <v>1</v>
      </c>
      <c r="AC205" s="1" t="s">
        <v>800</v>
      </c>
      <c r="AD205" s="1">
        <v>10</v>
      </c>
      <c r="AE205" s="1">
        <v>4</v>
      </c>
      <c r="AF205" s="1" t="s">
        <v>285</v>
      </c>
      <c r="AG205" s="1" t="s">
        <v>285</v>
      </c>
      <c r="AH205" s="1" t="s">
        <v>285</v>
      </c>
      <c r="AI205" s="1" t="s">
        <v>285</v>
      </c>
      <c r="AJ205" s="1">
        <v>3</v>
      </c>
      <c r="AK205" s="87" t="s">
        <v>801</v>
      </c>
      <c r="AL205" s="1">
        <v>6</v>
      </c>
    </row>
    <row r="206" spans="1:38" ht="12.75">
      <c r="A206" s="78" t="s">
        <v>1074</v>
      </c>
      <c r="E206" s="78">
        <v>5</v>
      </c>
      <c r="F206" s="78">
        <v>1</v>
      </c>
      <c r="H206" s="78">
        <v>5</v>
      </c>
      <c r="I206" s="78">
        <v>1</v>
      </c>
      <c r="K206" s="78" t="s">
        <v>0</v>
      </c>
      <c r="L206" s="1" t="b">
        <v>0</v>
      </c>
      <c r="M206" s="78">
        <f t="shared" si="25"/>
        <v>0</v>
      </c>
      <c r="N206" s="78">
        <v>-10</v>
      </c>
      <c r="O206" s="78">
        <v>10</v>
      </c>
      <c r="P206" s="78">
        <v>-10</v>
      </c>
      <c r="Q206" s="78">
        <v>0</v>
      </c>
      <c r="R206" s="78">
        <v>0</v>
      </c>
      <c r="S206" s="78">
        <f>IF(OR(F218=N200,F218=O200,F218=P200,F218=Q200,F218=R200),HLOOKUP(F218,N200:R206,3,FALSE),0)</f>
        <v>0</v>
      </c>
      <c r="T206" s="78">
        <f>IF(OR(F219=N200,F219=O200,F219=P200,F219=Q200,F219=R200),HLOOKUP(F219,N200:R206,3,FALSE),0)</f>
        <v>0</v>
      </c>
      <c r="U206" s="78">
        <f t="shared" si="26"/>
        <v>0</v>
      </c>
      <c r="Z206" s="92" t="s">
        <v>802</v>
      </c>
      <c r="AA206" s="1">
        <v>3</v>
      </c>
      <c r="AB206" s="1">
        <v>3</v>
      </c>
      <c r="AC206" s="1" t="s">
        <v>725</v>
      </c>
      <c r="AD206" s="1">
        <v>10</v>
      </c>
      <c r="AE206" s="1">
        <v>4</v>
      </c>
      <c r="AF206" s="1">
        <v>5</v>
      </c>
      <c r="AG206" s="1" t="s">
        <v>285</v>
      </c>
      <c r="AH206" s="1" t="s">
        <v>285</v>
      </c>
      <c r="AI206" s="1" t="s">
        <v>285</v>
      </c>
      <c r="AJ206" s="1">
        <v>5</v>
      </c>
      <c r="AL206" s="1">
        <v>6</v>
      </c>
    </row>
    <row r="207" spans="5:38" ht="12.75">
      <c r="E207" s="78">
        <v>6</v>
      </c>
      <c r="F207" s="78">
        <v>1</v>
      </c>
      <c r="H207" s="78">
        <v>6</v>
      </c>
      <c r="I207" s="78">
        <v>2</v>
      </c>
      <c r="K207" s="78" t="s">
        <v>1</v>
      </c>
      <c r="L207" s="1" t="b">
        <v>0</v>
      </c>
      <c r="M207" s="78">
        <f t="shared" si="25"/>
        <v>0</v>
      </c>
      <c r="N207" s="78">
        <v>0</v>
      </c>
      <c r="O207" s="78">
        <v>10</v>
      </c>
      <c r="P207" s="78">
        <v>-10</v>
      </c>
      <c r="Q207" s="78">
        <v>0</v>
      </c>
      <c r="R207" s="78">
        <v>0</v>
      </c>
      <c r="S207" s="78">
        <f>IF(OR(F218=N200,F218=O200,F218=P200,F218=Q200,F218=R200),HLOOKUP(F218,N200:R207,3,FALSE),0)</f>
        <v>0</v>
      </c>
      <c r="T207" s="78">
        <f>IF(OR(F219=N200,F219=O200,F219=P200,F219=Q200,F219=R200),HLOOKUP(F219,N200:R207,3,FALSE),0)</f>
        <v>0</v>
      </c>
      <c r="U207" s="78">
        <f t="shared" si="26"/>
        <v>0</v>
      </c>
      <c r="Z207" s="92" t="s">
        <v>402</v>
      </c>
      <c r="AA207" s="1">
        <v>1</v>
      </c>
      <c r="AB207" s="1">
        <v>1</v>
      </c>
      <c r="AC207" s="1" t="s">
        <v>803</v>
      </c>
      <c r="AD207" s="1">
        <v>8</v>
      </c>
      <c r="AE207" s="1">
        <v>3</v>
      </c>
      <c r="AF207" s="1">
        <v>4</v>
      </c>
      <c r="AG207" s="1" t="s">
        <v>285</v>
      </c>
      <c r="AH207" s="1" t="s">
        <v>285</v>
      </c>
      <c r="AI207" s="1" t="s">
        <v>285</v>
      </c>
      <c r="AJ207" s="1">
        <v>10</v>
      </c>
      <c r="AL207" s="1">
        <v>6</v>
      </c>
    </row>
    <row r="208" spans="5:38" ht="12.75">
      <c r="E208" s="78">
        <v>7</v>
      </c>
      <c r="F208" s="78">
        <v>2</v>
      </c>
      <c r="H208" s="78">
        <v>7</v>
      </c>
      <c r="I208" s="78">
        <v>2</v>
      </c>
      <c r="K208" s="78" t="s">
        <v>36</v>
      </c>
      <c r="L208" s="1" t="b">
        <v>0</v>
      </c>
      <c r="M208" s="78">
        <f t="shared" si="25"/>
        <v>0</v>
      </c>
      <c r="N208" s="78">
        <v>20</v>
      </c>
      <c r="O208" s="78">
        <v>10</v>
      </c>
      <c r="P208" s="78">
        <v>-10</v>
      </c>
      <c r="Q208" s="78">
        <v>0</v>
      </c>
      <c r="R208" s="78">
        <v>-20</v>
      </c>
      <c r="S208" s="78">
        <f>IF(OR(F218=N200,F218=O200,F218=P200,F218=Q200,F218=R200),HLOOKUP(F218,N200:R208,3,FALSE),0)</f>
        <v>0</v>
      </c>
      <c r="T208" s="78">
        <f>IF(OR(F219=N200,F219=O200,F219=P200,F219=Q200,F219=R200),HLOOKUP(F219,N200:R208,3,FALSE),0)</f>
        <v>0</v>
      </c>
      <c r="U208" s="78">
        <f t="shared" si="26"/>
        <v>0</v>
      </c>
      <c r="Z208" s="92" t="s">
        <v>403</v>
      </c>
      <c r="AA208" s="1">
        <v>4</v>
      </c>
      <c r="AB208" s="1">
        <v>5</v>
      </c>
      <c r="AC208" s="1" t="s">
        <v>800</v>
      </c>
      <c r="AD208" s="1">
        <v>30</v>
      </c>
      <c r="AE208" s="1">
        <v>4</v>
      </c>
      <c r="AF208" s="1" t="s">
        <v>285</v>
      </c>
      <c r="AG208" s="1" t="s">
        <v>285</v>
      </c>
      <c r="AH208" s="1" t="s">
        <v>285</v>
      </c>
      <c r="AI208" s="1" t="s">
        <v>285</v>
      </c>
      <c r="AJ208" s="1">
        <v>10</v>
      </c>
      <c r="AK208" s="1" t="s">
        <v>804</v>
      </c>
      <c r="AL208" s="1">
        <v>6</v>
      </c>
    </row>
    <row r="209" spans="5:38" ht="12.75">
      <c r="E209" s="78">
        <v>8</v>
      </c>
      <c r="F209" s="78">
        <v>3</v>
      </c>
      <c r="H209" s="78">
        <v>8</v>
      </c>
      <c r="I209" s="78">
        <v>2</v>
      </c>
      <c r="K209" s="78" t="s">
        <v>37</v>
      </c>
      <c r="L209" s="1" t="b">
        <v>0</v>
      </c>
      <c r="M209" s="78">
        <f t="shared" si="25"/>
        <v>0</v>
      </c>
      <c r="N209" s="78">
        <v>20</v>
      </c>
      <c r="O209" s="78">
        <v>10</v>
      </c>
      <c r="P209" s="78">
        <v>-10</v>
      </c>
      <c r="Q209" s="78">
        <v>0</v>
      </c>
      <c r="R209" s="78">
        <v>-20</v>
      </c>
      <c r="S209" s="78">
        <f>IF(OR(F218=N200,F218=O200,F218=P200,F218=Q200,F218=R200),HLOOKUP(F218,N200:R209,3,FALSE),0)</f>
        <v>0</v>
      </c>
      <c r="T209" s="78">
        <f>IF(OR(F219=N200,F219=O200,F219=P200,F219=Q200,F219=R200),HLOOKUP(F219,N200:R209,3,FALSE),0)</f>
        <v>0</v>
      </c>
      <c r="U209" s="78">
        <f t="shared" si="26"/>
        <v>0</v>
      </c>
      <c r="Z209" s="92" t="s">
        <v>404</v>
      </c>
      <c r="AA209" s="1">
        <v>1</v>
      </c>
      <c r="AB209" s="1">
        <v>8</v>
      </c>
      <c r="AC209" s="1" t="s">
        <v>805</v>
      </c>
      <c r="AD209" s="1">
        <v>15</v>
      </c>
      <c r="AE209" s="1">
        <v>3</v>
      </c>
      <c r="AF209" s="1">
        <v>4</v>
      </c>
      <c r="AG209" s="1" t="s">
        <v>285</v>
      </c>
      <c r="AH209" s="1" t="s">
        <v>285</v>
      </c>
      <c r="AI209" s="1" t="s">
        <v>285</v>
      </c>
      <c r="AJ209" s="1">
        <v>15</v>
      </c>
      <c r="AL209" s="1">
        <v>6</v>
      </c>
    </row>
    <row r="210" spans="5:38" ht="12.75">
      <c r="E210" s="78">
        <v>9</v>
      </c>
      <c r="F210" s="78">
        <v>4</v>
      </c>
      <c r="H210" s="78">
        <v>9</v>
      </c>
      <c r="I210" s="78">
        <v>3</v>
      </c>
      <c r="K210" s="78" t="s">
        <v>2</v>
      </c>
      <c r="L210" s="1" t="b">
        <v>0</v>
      </c>
      <c r="M210" s="78">
        <f t="shared" si="25"/>
        <v>0</v>
      </c>
      <c r="N210" s="78">
        <v>0</v>
      </c>
      <c r="O210" s="78">
        <v>10</v>
      </c>
      <c r="P210" s="78">
        <v>-10</v>
      </c>
      <c r="Q210" s="78">
        <v>0</v>
      </c>
      <c r="R210" s="78">
        <v>0</v>
      </c>
      <c r="S210" s="78">
        <f>IF(OR(F218=N200,F218=O200,F218=P200,F218=Q200,F218=R200),HLOOKUP(F218,N200:R210,3,FALSE),0)</f>
        <v>0</v>
      </c>
      <c r="T210" s="78">
        <f>IF(OR(F219=N200,F219=O200,F219=P200,F219=Q200,F219=R200),HLOOKUP(F219,N200:R210,3,FALSE),0)</f>
        <v>0</v>
      </c>
      <c r="U210" s="78">
        <f t="shared" si="26"/>
        <v>0</v>
      </c>
      <c r="Z210" s="92" t="s">
        <v>405</v>
      </c>
      <c r="AA210" s="1">
        <v>1</v>
      </c>
      <c r="AB210" s="1">
        <v>1</v>
      </c>
      <c r="AC210" s="1" t="s">
        <v>807</v>
      </c>
      <c r="AD210" s="1">
        <v>15</v>
      </c>
      <c r="AE210" s="1">
        <v>3</v>
      </c>
      <c r="AF210" s="1">
        <v>4</v>
      </c>
      <c r="AG210" s="1" t="s">
        <v>285</v>
      </c>
      <c r="AH210" s="1" t="s">
        <v>285</v>
      </c>
      <c r="AI210" s="1" t="s">
        <v>285</v>
      </c>
      <c r="AJ210" s="1">
        <v>30</v>
      </c>
      <c r="AL210" s="1">
        <v>6</v>
      </c>
    </row>
    <row r="211" spans="5:38" ht="12.75">
      <c r="E211" s="78">
        <v>10</v>
      </c>
      <c r="F211" s="78">
        <v>5</v>
      </c>
      <c r="H211" s="78">
        <v>10</v>
      </c>
      <c r="I211" s="78">
        <v>3</v>
      </c>
      <c r="K211" s="78" t="s">
        <v>38</v>
      </c>
      <c r="L211" s="1" t="b">
        <v>0</v>
      </c>
      <c r="M211" s="78">
        <f t="shared" si="25"/>
        <v>0</v>
      </c>
      <c r="N211" s="78">
        <v>0</v>
      </c>
      <c r="O211" s="78">
        <v>10</v>
      </c>
      <c r="P211" s="78">
        <v>-10</v>
      </c>
      <c r="Q211" s="78">
        <v>15</v>
      </c>
      <c r="R211" s="78">
        <v>-20</v>
      </c>
      <c r="S211" s="78">
        <f>IF(OR(F218=N200,F218=O200,F218=P200,F218=Q200,F218=R200),HLOOKUP(F218,N200:R211,3,FALSE),0)</f>
        <v>0</v>
      </c>
      <c r="T211" s="78">
        <f>IF(OR(F219=N200,F219=O200,F219=P200,F219=Q200,F219=R200),HLOOKUP(F219,N200:R211,3,FALSE),0)</f>
        <v>0</v>
      </c>
      <c r="U211" s="78">
        <f t="shared" si="26"/>
        <v>0</v>
      </c>
      <c r="Z211" s="92" t="s">
        <v>365</v>
      </c>
      <c r="AA211" s="1">
        <v>2</v>
      </c>
      <c r="AB211" s="1">
        <v>1</v>
      </c>
      <c r="AC211" s="1" t="s">
        <v>708</v>
      </c>
      <c r="AD211" s="1">
        <v>5</v>
      </c>
      <c r="AE211" s="1">
        <v>4</v>
      </c>
      <c r="AF211" s="1">
        <v>5</v>
      </c>
      <c r="AG211" s="1" t="s">
        <v>285</v>
      </c>
      <c r="AH211" s="1" t="s">
        <v>285</v>
      </c>
      <c r="AI211" s="1" t="s">
        <v>285</v>
      </c>
      <c r="AJ211" s="1">
        <v>40</v>
      </c>
      <c r="AL211" s="1">
        <v>6</v>
      </c>
    </row>
    <row r="212" spans="5:38" ht="12.75">
      <c r="E212" s="78">
        <v>11</v>
      </c>
      <c r="F212" s="78">
        <v>5</v>
      </c>
      <c r="H212" s="78">
        <v>11</v>
      </c>
      <c r="I212" s="78">
        <v>3</v>
      </c>
      <c r="K212" s="78" t="s">
        <v>3</v>
      </c>
      <c r="L212" s="1" t="b">
        <v>0</v>
      </c>
      <c r="M212" s="78">
        <f t="shared" si="25"/>
        <v>0</v>
      </c>
      <c r="N212" s="78">
        <v>0</v>
      </c>
      <c r="O212" s="78">
        <v>10</v>
      </c>
      <c r="P212" s="78">
        <v>-10</v>
      </c>
      <c r="Q212" s="78">
        <v>0</v>
      </c>
      <c r="R212" s="78">
        <v>0</v>
      </c>
      <c r="S212" s="78">
        <f>IF(OR(F218=N200,F218=O200,F218=P200,F218=Q200,F218=R200),HLOOKUP(F218,N200:R212,3,FALSE),0)</f>
        <v>0</v>
      </c>
      <c r="T212" s="78">
        <f>IF(OR(F219=N200,F219=O200,F219=P200,F219=Q200,F219=R200),HLOOKUP(F219,N200:R212,3,FALSE),0)</f>
        <v>0</v>
      </c>
      <c r="U212" s="78">
        <f t="shared" si="26"/>
        <v>0</v>
      </c>
      <c r="Z212" s="92" t="s">
        <v>406</v>
      </c>
      <c r="AA212" s="1">
        <v>1</v>
      </c>
      <c r="AB212" s="1">
        <v>10</v>
      </c>
      <c r="AC212" s="1" t="s">
        <v>806</v>
      </c>
      <c r="AD212" s="1">
        <v>15</v>
      </c>
      <c r="AE212" s="1">
        <v>4</v>
      </c>
      <c r="AF212" s="1">
        <v>5</v>
      </c>
      <c r="AG212" s="1" t="s">
        <v>285</v>
      </c>
      <c r="AH212" s="1" t="s">
        <v>285</v>
      </c>
      <c r="AI212" s="1" t="s">
        <v>285</v>
      </c>
      <c r="AJ212" s="1">
        <v>25</v>
      </c>
      <c r="AL212" s="1">
        <v>6</v>
      </c>
    </row>
    <row r="213" spans="5:38" ht="12.75">
      <c r="E213" s="78">
        <v>12</v>
      </c>
      <c r="F213" s="78">
        <v>5</v>
      </c>
      <c r="H213" s="78">
        <v>12</v>
      </c>
      <c r="I213" s="78">
        <v>3</v>
      </c>
      <c r="K213" s="78" t="s">
        <v>4</v>
      </c>
      <c r="L213" s="1" t="b">
        <v>0</v>
      </c>
      <c r="M213" s="78">
        <f t="shared" si="25"/>
        <v>0</v>
      </c>
      <c r="N213" s="78">
        <v>0</v>
      </c>
      <c r="O213" s="78">
        <v>10</v>
      </c>
      <c r="P213" s="78">
        <v>-10</v>
      </c>
      <c r="Q213" s="78">
        <v>0</v>
      </c>
      <c r="R213" s="78">
        <v>0</v>
      </c>
      <c r="S213" s="78">
        <f>IF(OR(F218=N200,F218=O200,F218=P200,F218=Q200,F218=R200),HLOOKUP(F218,N200:R213,3,FALSE),0)</f>
        <v>0</v>
      </c>
      <c r="T213" s="78">
        <f>IF(OR(F219=N200,F219=O200,F219=P200,F219=Q200,F219=R200),HLOOKUP(F219,N200:R213,3,FALSE),0)</f>
        <v>0</v>
      </c>
      <c r="U213" s="78">
        <f t="shared" si="26"/>
        <v>0</v>
      </c>
      <c r="Z213" s="92" t="s">
        <v>407</v>
      </c>
      <c r="AA213" s="1">
        <v>3</v>
      </c>
      <c r="AB213" s="1">
        <v>1</v>
      </c>
      <c r="AC213" s="1" t="s">
        <v>808</v>
      </c>
      <c r="AD213" s="1">
        <v>12</v>
      </c>
      <c r="AE213" s="1">
        <v>5</v>
      </c>
      <c r="AF213" s="1" t="s">
        <v>285</v>
      </c>
      <c r="AG213" s="1" t="s">
        <v>285</v>
      </c>
      <c r="AH213" s="1" t="s">
        <v>285</v>
      </c>
      <c r="AI213" s="1" t="s">
        <v>285</v>
      </c>
      <c r="AJ213" s="1">
        <v>50</v>
      </c>
      <c r="AK213" s="1" t="s">
        <v>809</v>
      </c>
      <c r="AL213" s="1">
        <v>6</v>
      </c>
    </row>
    <row r="214" spans="5:38" ht="12.75">
      <c r="E214" s="78">
        <v>13</v>
      </c>
      <c r="F214" s="78">
        <v>5</v>
      </c>
      <c r="H214" s="78">
        <v>13</v>
      </c>
      <c r="I214" s="78">
        <v>3</v>
      </c>
      <c r="K214" s="78" t="s">
        <v>39</v>
      </c>
      <c r="L214" s="1" t="b">
        <v>0</v>
      </c>
      <c r="M214" s="78">
        <f t="shared" si="25"/>
        <v>0</v>
      </c>
      <c r="N214" s="78">
        <v>0</v>
      </c>
      <c r="O214" s="78">
        <v>10</v>
      </c>
      <c r="P214" s="78">
        <v>-10</v>
      </c>
      <c r="Q214" s="78">
        <v>15</v>
      </c>
      <c r="R214" s="78">
        <v>-20</v>
      </c>
      <c r="S214" s="78">
        <f>IF(OR(F218=N200,F218=O200,F218=P200,F218=Q200,F218=R200),HLOOKUP(F218,N200:R214,3,FALSE),0)</f>
        <v>0</v>
      </c>
      <c r="T214" s="78">
        <f>IF(OR(F219=N200,F219=O200,F219=P200,F219=Q200,F219=R200),HLOOKUP(F219,N200:R214,3,FALSE),0)</f>
        <v>0</v>
      </c>
      <c r="U214" s="78">
        <f t="shared" si="26"/>
        <v>0</v>
      </c>
      <c r="Z214" s="92" t="s">
        <v>371</v>
      </c>
      <c r="AA214" s="1">
        <v>4</v>
      </c>
      <c r="AB214" s="1">
        <v>4</v>
      </c>
      <c r="AC214" s="1" t="s">
        <v>728</v>
      </c>
      <c r="AD214" s="1">
        <v>5</v>
      </c>
      <c r="AE214" s="1">
        <v>5</v>
      </c>
      <c r="AF214" s="1">
        <v>6</v>
      </c>
      <c r="AG214" s="1" t="s">
        <v>285</v>
      </c>
      <c r="AH214" s="1" t="s">
        <v>285</v>
      </c>
      <c r="AI214" s="1" t="s">
        <v>285</v>
      </c>
      <c r="AJ214" s="1">
        <v>80</v>
      </c>
      <c r="AL214" s="1">
        <v>6</v>
      </c>
    </row>
    <row r="215" spans="5:38" ht="12.75">
      <c r="E215" s="78">
        <v>14</v>
      </c>
      <c r="F215" s="78">
        <v>5</v>
      </c>
      <c r="K215" s="78" t="s">
        <v>5</v>
      </c>
      <c r="L215" s="1" t="b">
        <v>0</v>
      </c>
      <c r="M215" s="78">
        <f t="shared" si="25"/>
        <v>0</v>
      </c>
      <c r="N215" s="78">
        <v>0</v>
      </c>
      <c r="O215" s="78">
        <v>10</v>
      </c>
      <c r="P215" s="78">
        <v>-10</v>
      </c>
      <c r="Q215" s="78">
        <v>15</v>
      </c>
      <c r="R215" s="78">
        <v>-20</v>
      </c>
      <c r="S215" s="78">
        <f>IF(OR(F218=N200,F218=O200,F218=P200,F218=Q200,F218=R200),HLOOKUP(F218,N200:R215,3,FALSE),0)</f>
        <v>0</v>
      </c>
      <c r="T215" s="78">
        <f>IF(OR(F219=N200,F219=O200,F219=P200,F219=Q200,F219=R200),HLOOKUP(F219,N200:R215,3,FALSE),0)</f>
        <v>0</v>
      </c>
      <c r="U215" s="78">
        <f t="shared" si="26"/>
        <v>0</v>
      </c>
      <c r="Z215" s="92" t="s">
        <v>408</v>
      </c>
      <c r="AA215" s="1">
        <v>2</v>
      </c>
      <c r="AB215" s="1">
        <v>1</v>
      </c>
      <c r="AC215" s="1" t="s">
        <v>710</v>
      </c>
      <c r="AD215" s="1" t="s">
        <v>810</v>
      </c>
      <c r="AE215" s="1">
        <v>4</v>
      </c>
      <c r="AF215" s="1">
        <v>5</v>
      </c>
      <c r="AG215" s="1" t="s">
        <v>285</v>
      </c>
      <c r="AH215" s="1" t="s">
        <v>285</v>
      </c>
      <c r="AI215" s="1" t="s">
        <v>285</v>
      </c>
      <c r="AJ215" s="1">
        <v>100</v>
      </c>
      <c r="AL215" s="1">
        <v>6</v>
      </c>
    </row>
    <row r="216" spans="11:38" ht="12.75">
      <c r="K216" s="78" t="s">
        <v>9</v>
      </c>
      <c r="L216" s="1" t="b">
        <v>0</v>
      </c>
      <c r="M216" s="78">
        <f t="shared" si="25"/>
        <v>0</v>
      </c>
      <c r="N216" s="78">
        <v>0</v>
      </c>
      <c r="O216" s="78">
        <v>10</v>
      </c>
      <c r="P216" s="78">
        <v>-10</v>
      </c>
      <c r="Q216" s="78">
        <v>0</v>
      </c>
      <c r="R216" s="78">
        <v>0</v>
      </c>
      <c r="S216" s="78">
        <f>IF(OR(F218=N200,F218=O200,F218=P200,F218=Q200,F218=R200),HLOOKUP(F218,N200:R216,3,FALSE),0)</f>
        <v>0</v>
      </c>
      <c r="T216" s="78">
        <f>IF(OR(F219=N200,F219=O200,F219=P200,F219=Q200,F219=R200),HLOOKUP(F219,N200:R216,3,FALSE),0)</f>
        <v>0</v>
      </c>
      <c r="U216" s="78">
        <f t="shared" si="26"/>
        <v>0</v>
      </c>
      <c r="Z216" s="92" t="s">
        <v>409</v>
      </c>
      <c r="AA216" s="1">
        <v>4</v>
      </c>
      <c r="AB216" s="1">
        <v>1</v>
      </c>
      <c r="AC216" s="1" t="s">
        <v>800</v>
      </c>
      <c r="AD216" s="1" t="s">
        <v>810</v>
      </c>
      <c r="AE216" s="1">
        <v>4</v>
      </c>
      <c r="AF216" s="1" t="s">
        <v>285</v>
      </c>
      <c r="AG216" s="1" t="s">
        <v>285</v>
      </c>
      <c r="AH216" s="1" t="s">
        <v>285</v>
      </c>
      <c r="AI216" s="1" t="s">
        <v>285</v>
      </c>
      <c r="AJ216" s="1">
        <v>140</v>
      </c>
      <c r="AK216" s="1" t="s">
        <v>811</v>
      </c>
      <c r="AL216" s="1">
        <v>6</v>
      </c>
    </row>
    <row r="217" spans="8:38" ht="12.75">
      <c r="H217" s="78">
        <v>5</v>
      </c>
      <c r="K217" s="78" t="s">
        <v>6</v>
      </c>
      <c r="L217" s="1" t="b">
        <v>0</v>
      </c>
      <c r="M217" s="78">
        <f t="shared" si="25"/>
        <v>0</v>
      </c>
      <c r="N217" s="78">
        <v>20</v>
      </c>
      <c r="O217" s="78">
        <v>10</v>
      </c>
      <c r="P217" s="78">
        <v>-10</v>
      </c>
      <c r="Q217" s="78">
        <v>0</v>
      </c>
      <c r="R217" s="78">
        <v>0</v>
      </c>
      <c r="S217" s="78">
        <f>IF(OR(F218=N200,F218=O200,F218=P200,F218=Q200,F218=R200),HLOOKUP(F218,N200:R217,3,FALSE),0)</f>
        <v>0</v>
      </c>
      <c r="T217" s="78">
        <f>IF(OR(F219=N200,F219=O200,F219=P200,F219=Q200,F219=R200),HLOOKUP(F219,N200:R217,3,FALSE),0)</f>
        <v>0</v>
      </c>
      <c r="U217" s="78">
        <f t="shared" si="26"/>
        <v>0</v>
      </c>
      <c r="Z217" s="92" t="s">
        <v>410</v>
      </c>
      <c r="AA217" s="1">
        <v>3</v>
      </c>
      <c r="AB217" s="1">
        <v>1</v>
      </c>
      <c r="AC217" s="1" t="s">
        <v>812</v>
      </c>
      <c r="AD217" s="1">
        <v>15</v>
      </c>
      <c r="AE217" s="1">
        <v>5</v>
      </c>
      <c r="AF217" s="1" t="s">
        <v>285</v>
      </c>
      <c r="AG217" s="1" t="s">
        <v>285</v>
      </c>
      <c r="AH217" s="1" t="s">
        <v>285</v>
      </c>
      <c r="AI217" s="1" t="s">
        <v>285</v>
      </c>
      <c r="AJ217" s="1">
        <v>150</v>
      </c>
      <c r="AK217" s="1" t="s">
        <v>816</v>
      </c>
      <c r="AL217" s="1">
        <v>6</v>
      </c>
    </row>
    <row r="218" spans="5:38" ht="12.75">
      <c r="E218" s="78" t="s">
        <v>149</v>
      </c>
      <c r="F218" s="78">
        <v>1</v>
      </c>
      <c r="H218" s="78">
        <f>SUM(Игрок1!K215,Игрок1!K217,Игрок1!K219,Игрок1!K221,Игрок1!K223,Игрок1!K225,Игрок1!K227)</f>
        <v>0</v>
      </c>
      <c r="K218" s="78" t="s">
        <v>7</v>
      </c>
      <c r="L218" s="1" t="b">
        <v>0</v>
      </c>
      <c r="M218" s="78">
        <f t="shared" si="25"/>
        <v>0</v>
      </c>
      <c r="N218" s="78">
        <v>20</v>
      </c>
      <c r="O218" s="78">
        <v>10</v>
      </c>
      <c r="P218" s="78">
        <v>-10</v>
      </c>
      <c r="Q218" s="78">
        <v>0</v>
      </c>
      <c r="R218" s="78">
        <v>0</v>
      </c>
      <c r="S218" s="78">
        <f>IF(OR(F218=N200,F218=O200,F218=P200,F218=Q200,F218=R200),HLOOKUP(F218,N200:R218,3,FALSE),0)</f>
        <v>0</v>
      </c>
      <c r="T218" s="78">
        <f>IF(OR(F219=N200,F219=O200,F219=P200,F219=Q200,F219=R200),HLOOKUP(F219,N200:R218,3,FALSE),0)</f>
        <v>0</v>
      </c>
      <c r="U218" s="78">
        <f t="shared" si="26"/>
        <v>0</v>
      </c>
      <c r="Z218" s="92" t="s">
        <v>376</v>
      </c>
      <c r="AA218" s="1">
        <v>2</v>
      </c>
      <c r="AB218" s="1">
        <v>2</v>
      </c>
      <c r="AC218" s="1" t="s">
        <v>728</v>
      </c>
      <c r="AD218" s="1">
        <v>7</v>
      </c>
      <c r="AE218" s="1">
        <v>4</v>
      </c>
      <c r="AF218" s="1">
        <v>5</v>
      </c>
      <c r="AG218" s="1" t="s">
        <v>285</v>
      </c>
      <c r="AH218" s="1" t="s">
        <v>285</v>
      </c>
      <c r="AI218" s="1" t="s">
        <v>285</v>
      </c>
      <c r="AJ218" s="1">
        <v>165</v>
      </c>
      <c r="AL218" s="1">
        <v>6</v>
      </c>
    </row>
    <row r="219" spans="5:38" ht="12.75">
      <c r="E219" s="78" t="s">
        <v>150</v>
      </c>
      <c r="F219" s="78">
        <v>1</v>
      </c>
      <c r="K219" s="78" t="s">
        <v>40</v>
      </c>
      <c r="L219" s="1" t="b">
        <v>0</v>
      </c>
      <c r="M219" s="78">
        <f t="shared" si="25"/>
        <v>0</v>
      </c>
      <c r="N219" s="78">
        <v>0</v>
      </c>
      <c r="O219" s="78">
        <v>10</v>
      </c>
      <c r="P219" s="78">
        <v>-10</v>
      </c>
      <c r="Q219" s="78">
        <v>0</v>
      </c>
      <c r="R219" s="78">
        <v>0</v>
      </c>
      <c r="S219" s="78">
        <f>IF(OR(F218=N200,F218=O200,F218=P200,F218=Q200,F218=R200),HLOOKUP(F218,N200:R219,3,FALSE),0)</f>
        <v>0</v>
      </c>
      <c r="T219" s="78">
        <f>IF(OR(F219=N200,F219=O200,F219=P200,F219=Q200,F219=R200),HLOOKUP(F219,N200:R219,3,FALSE),0)</f>
        <v>0</v>
      </c>
      <c r="U219" s="78">
        <f t="shared" si="26"/>
        <v>0</v>
      </c>
      <c r="Z219" s="92" t="s">
        <v>411</v>
      </c>
      <c r="AA219" s="1">
        <v>4</v>
      </c>
      <c r="AB219" s="1">
        <v>4</v>
      </c>
      <c r="AC219" s="1" t="s">
        <v>813</v>
      </c>
      <c r="AD219" s="1">
        <v>15</v>
      </c>
      <c r="AE219" s="1">
        <v>5</v>
      </c>
      <c r="AF219" s="1" t="s">
        <v>285</v>
      </c>
      <c r="AG219" s="1" t="s">
        <v>285</v>
      </c>
      <c r="AH219" s="1" t="s">
        <v>285</v>
      </c>
      <c r="AI219" s="1" t="s">
        <v>285</v>
      </c>
      <c r="AJ219" s="1">
        <v>200</v>
      </c>
      <c r="AL219" s="1">
        <v>6</v>
      </c>
    </row>
    <row r="220" spans="11:38" ht="12.75">
      <c r="K220" s="78" t="s">
        <v>41</v>
      </c>
      <c r="L220" s="1" t="b">
        <v>0</v>
      </c>
      <c r="M220" s="78">
        <f t="shared" si="25"/>
        <v>0</v>
      </c>
      <c r="N220" s="78">
        <v>0</v>
      </c>
      <c r="O220" s="78">
        <v>10</v>
      </c>
      <c r="P220" s="78">
        <v>-10</v>
      </c>
      <c r="Q220" s="78">
        <v>0</v>
      </c>
      <c r="R220" s="78">
        <v>0</v>
      </c>
      <c r="S220" s="78">
        <f>IF(OR(F218=N200,F218=O200,F218=P200,F218=Q200,F218=R200),HLOOKUP(F218,N200:R220,3,FALSE),0)</f>
        <v>0</v>
      </c>
      <c r="T220" s="78">
        <f>IF(OR(F219=N200,F219=O200,F219=P200,F219=Q200,F219=R200),HLOOKUP(F219,N200:R220,3,FALSE),0)</f>
        <v>0</v>
      </c>
      <c r="U220" s="78">
        <f t="shared" si="26"/>
        <v>0</v>
      </c>
      <c r="Z220" s="92" t="s">
        <v>412</v>
      </c>
      <c r="AA220" s="1">
        <v>3</v>
      </c>
      <c r="AB220" s="1">
        <v>3</v>
      </c>
      <c r="AC220" s="1" t="s">
        <v>814</v>
      </c>
      <c r="AD220" s="1" t="s">
        <v>810</v>
      </c>
      <c r="AE220" s="1">
        <v>4</v>
      </c>
      <c r="AF220" s="1">
        <v>5</v>
      </c>
      <c r="AG220" s="1" t="s">
        <v>285</v>
      </c>
      <c r="AH220" s="1" t="s">
        <v>285</v>
      </c>
      <c r="AI220" s="1" t="s">
        <v>285</v>
      </c>
      <c r="AJ220" s="1">
        <v>200</v>
      </c>
      <c r="AL220" s="1">
        <v>6</v>
      </c>
    </row>
    <row r="221" spans="26:38" ht="12.75">
      <c r="Z221" s="92" t="s">
        <v>413</v>
      </c>
      <c r="AA221" s="1">
        <v>4</v>
      </c>
      <c r="AB221" s="1">
        <v>1</v>
      </c>
      <c r="AC221" s="1" t="s">
        <v>815</v>
      </c>
      <c r="AD221" s="1">
        <v>15</v>
      </c>
      <c r="AE221" s="1">
        <v>5</v>
      </c>
      <c r="AF221" s="1" t="s">
        <v>285</v>
      </c>
      <c r="AG221" s="1" t="s">
        <v>285</v>
      </c>
      <c r="AH221" s="1" t="s">
        <v>285</v>
      </c>
      <c r="AI221" s="1" t="s">
        <v>285</v>
      </c>
      <c r="AJ221" s="1">
        <v>300</v>
      </c>
      <c r="AK221" s="1" t="s">
        <v>817</v>
      </c>
      <c r="AL221" s="1">
        <v>6</v>
      </c>
    </row>
    <row r="222" spans="26:38" ht="12.75">
      <c r="Z222" s="92" t="s">
        <v>414</v>
      </c>
      <c r="AA222" s="1">
        <v>4</v>
      </c>
      <c r="AB222" s="1">
        <v>1</v>
      </c>
      <c r="AC222" s="1" t="s">
        <v>800</v>
      </c>
      <c r="AD222" s="1">
        <v>15</v>
      </c>
      <c r="AE222" s="1">
        <v>5</v>
      </c>
      <c r="AF222" s="1" t="s">
        <v>285</v>
      </c>
      <c r="AG222" s="1" t="s">
        <v>285</v>
      </c>
      <c r="AH222" s="1" t="s">
        <v>285</v>
      </c>
      <c r="AI222" s="1" t="s">
        <v>285</v>
      </c>
      <c r="AJ222" s="1">
        <v>300</v>
      </c>
      <c r="AK222" s="1" t="s">
        <v>818</v>
      </c>
      <c r="AL222" s="1">
        <v>6</v>
      </c>
    </row>
    <row r="223" spans="26:38" ht="12.75">
      <c r="Z223" s="92" t="s">
        <v>415</v>
      </c>
      <c r="AA223" s="1">
        <v>4</v>
      </c>
      <c r="AB223" s="1">
        <v>1</v>
      </c>
      <c r="AC223" s="1" t="s">
        <v>800</v>
      </c>
      <c r="AD223" s="1">
        <v>15</v>
      </c>
      <c r="AE223" s="1">
        <v>5</v>
      </c>
      <c r="AF223" s="1" t="s">
        <v>285</v>
      </c>
      <c r="AG223" s="1" t="s">
        <v>285</v>
      </c>
      <c r="AH223" s="1" t="s">
        <v>285</v>
      </c>
      <c r="AI223" s="1" t="s">
        <v>285</v>
      </c>
      <c r="AJ223" s="1">
        <v>300</v>
      </c>
      <c r="AK223" s="1" t="s">
        <v>821</v>
      </c>
      <c r="AL223" s="1">
        <v>6</v>
      </c>
    </row>
    <row r="224" spans="26:38" ht="12.75">
      <c r="Z224" s="92" t="s">
        <v>416</v>
      </c>
      <c r="AA224" s="1">
        <v>4</v>
      </c>
      <c r="AB224" s="1">
        <v>1</v>
      </c>
      <c r="AC224" s="1" t="s">
        <v>800</v>
      </c>
      <c r="AD224" s="1">
        <v>15</v>
      </c>
      <c r="AE224" s="1">
        <v>5</v>
      </c>
      <c r="AF224" s="1" t="s">
        <v>285</v>
      </c>
      <c r="AG224" s="1" t="s">
        <v>285</v>
      </c>
      <c r="AH224" s="1" t="s">
        <v>285</v>
      </c>
      <c r="AI224" s="1" t="s">
        <v>285</v>
      </c>
      <c r="AJ224" s="1">
        <v>300</v>
      </c>
      <c r="AK224" s="1" t="s">
        <v>820</v>
      </c>
      <c r="AL224" s="1">
        <v>6</v>
      </c>
    </row>
    <row r="225" spans="26:38" ht="12.75">
      <c r="Z225" s="92" t="s">
        <v>417</v>
      </c>
      <c r="AA225" s="1">
        <v>4</v>
      </c>
      <c r="AB225" s="1">
        <v>1</v>
      </c>
      <c r="AC225" s="1" t="s">
        <v>800</v>
      </c>
      <c r="AD225" s="1">
        <v>15</v>
      </c>
      <c r="AE225" s="1">
        <v>5</v>
      </c>
      <c r="AF225" s="1" t="s">
        <v>285</v>
      </c>
      <c r="AG225" s="1" t="s">
        <v>285</v>
      </c>
      <c r="AH225" s="1" t="s">
        <v>285</v>
      </c>
      <c r="AI225" s="1" t="s">
        <v>285</v>
      </c>
      <c r="AJ225" s="1">
        <v>300</v>
      </c>
      <c r="AK225" s="1" t="s">
        <v>819</v>
      </c>
      <c r="AL225" s="1">
        <v>6</v>
      </c>
    </row>
    <row r="226" spans="26:38" ht="12.75">
      <c r="Z226" s="92" t="s">
        <v>418</v>
      </c>
      <c r="AA226" s="1">
        <v>4</v>
      </c>
      <c r="AB226" s="1">
        <v>1</v>
      </c>
      <c r="AC226" s="1" t="s">
        <v>822</v>
      </c>
      <c r="AD226" s="1">
        <v>15</v>
      </c>
      <c r="AE226" s="1">
        <v>5</v>
      </c>
      <c r="AF226" s="1" t="s">
        <v>285</v>
      </c>
      <c r="AG226" s="1" t="s">
        <v>285</v>
      </c>
      <c r="AH226" s="1" t="s">
        <v>285</v>
      </c>
      <c r="AI226" s="1" t="s">
        <v>285</v>
      </c>
      <c r="AJ226" s="1">
        <v>300</v>
      </c>
      <c r="AK226" s="1" t="s">
        <v>823</v>
      </c>
      <c r="AL226" s="1">
        <v>6</v>
      </c>
    </row>
    <row r="227" spans="26:38" ht="12.75">
      <c r="Z227" s="92" t="s">
        <v>419</v>
      </c>
      <c r="AA227" s="1">
        <v>4</v>
      </c>
      <c r="AB227" s="1">
        <v>1</v>
      </c>
      <c r="AC227" s="1" t="s">
        <v>799</v>
      </c>
      <c r="AD227" s="1">
        <v>15</v>
      </c>
      <c r="AE227" s="1">
        <v>5</v>
      </c>
      <c r="AF227" s="1" t="s">
        <v>285</v>
      </c>
      <c r="AG227" s="1" t="s">
        <v>285</v>
      </c>
      <c r="AH227" s="1" t="s">
        <v>285</v>
      </c>
      <c r="AI227" s="1" t="s">
        <v>285</v>
      </c>
      <c r="AJ227" s="1">
        <v>300</v>
      </c>
      <c r="AK227" s="1" t="s">
        <v>824</v>
      </c>
      <c r="AL227" s="1">
        <v>6</v>
      </c>
    </row>
    <row r="228" spans="26:37" ht="12.75">
      <c r="Z228" s="94" t="s">
        <v>1058</v>
      </c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26:38" ht="12.75">
      <c r="Z229" s="78" t="s">
        <v>593</v>
      </c>
      <c r="AA229" s="1" t="s">
        <v>285</v>
      </c>
      <c r="AB229" s="1">
        <v>1000</v>
      </c>
      <c r="AC229" s="1" t="s">
        <v>880</v>
      </c>
      <c r="AD229" s="1" t="s">
        <v>781</v>
      </c>
      <c r="AE229" s="1">
        <v>4</v>
      </c>
      <c r="AF229" s="1" t="s">
        <v>285</v>
      </c>
      <c r="AG229" s="1" t="s">
        <v>285</v>
      </c>
      <c r="AH229" s="1" t="s">
        <v>285</v>
      </c>
      <c r="AI229" s="1">
        <v>1</v>
      </c>
      <c r="AJ229" s="1" t="s">
        <v>285</v>
      </c>
      <c r="AK229" s="1" t="s">
        <v>881</v>
      </c>
      <c r="AL229" s="1">
        <v>2</v>
      </c>
    </row>
    <row r="230" spans="5:38" ht="12.75">
      <c r="E230" s="78" t="s">
        <v>1079</v>
      </c>
      <c r="F230" s="128"/>
      <c r="Z230" s="78" t="s">
        <v>594</v>
      </c>
      <c r="AA230" s="1" t="s">
        <v>285</v>
      </c>
      <c r="AB230" s="1">
        <v>1300</v>
      </c>
      <c r="AC230" s="1" t="s">
        <v>880</v>
      </c>
      <c r="AD230" s="1" t="s">
        <v>781</v>
      </c>
      <c r="AE230" s="1">
        <v>4</v>
      </c>
      <c r="AF230" s="1" t="s">
        <v>285</v>
      </c>
      <c r="AG230" s="1" t="s">
        <v>285</v>
      </c>
      <c r="AH230" s="1" t="s">
        <v>285</v>
      </c>
      <c r="AI230" s="1">
        <v>1</v>
      </c>
      <c r="AJ230" s="1" t="s">
        <v>285</v>
      </c>
      <c r="AK230" s="1" t="s">
        <v>881</v>
      </c>
      <c r="AL230" s="1">
        <v>2</v>
      </c>
    </row>
    <row r="231" spans="26:38" ht="12.75">
      <c r="Z231" s="78" t="s">
        <v>595</v>
      </c>
      <c r="AA231" s="1" t="s">
        <v>285</v>
      </c>
      <c r="AB231" s="1">
        <v>2500</v>
      </c>
      <c r="AC231" s="1" t="s">
        <v>883</v>
      </c>
      <c r="AD231" s="1" t="s">
        <v>886</v>
      </c>
      <c r="AE231" s="1">
        <v>5</v>
      </c>
      <c r="AF231" s="1" t="s">
        <v>285</v>
      </c>
      <c r="AG231" s="1" t="s">
        <v>285</v>
      </c>
      <c r="AH231" s="1" t="s">
        <v>285</v>
      </c>
      <c r="AI231" s="1">
        <v>1</v>
      </c>
      <c r="AJ231" s="1" t="s">
        <v>285</v>
      </c>
      <c r="AK231" s="1" t="s">
        <v>881</v>
      </c>
      <c r="AL231" s="1">
        <v>2</v>
      </c>
    </row>
    <row r="232" spans="5:38" ht="12.75">
      <c r="E232" s="78" t="s">
        <v>1117</v>
      </c>
      <c r="F232" s="78" t="e">
        <f>INDEX(Игрок1!AK7:AL18,Таблицы!E244,1)</f>
        <v>#VALUE!</v>
      </c>
      <c r="G232" s="78" t="e">
        <f>INDEX(Игрок2!AK7:AL18,Таблицы!E244,1)</f>
        <v>#VALUE!</v>
      </c>
      <c r="H232" s="78" t="e">
        <f>INDEX(Игрок3!AK7:AL18,Таблицы!E244,1)</f>
        <v>#VALUE!</v>
      </c>
      <c r="I232" s="78" t="e">
        <f>INDEX(Игрок4!AK7:AL18,Таблицы!E244,1)</f>
        <v>#VALUE!</v>
      </c>
      <c r="J232" s="78" t="e">
        <f>INDEX(Игрок5!AK7:AL18,Таблицы!E244,1)</f>
        <v>#VALUE!</v>
      </c>
      <c r="K232" s="78" t="e">
        <f>INDEX(Игрок6!AK7:AL18,Таблицы!E244,1)</f>
        <v>#VALUE!</v>
      </c>
      <c r="L232" s="78" t="e">
        <f>INDEX(Игрок7!AK7:AL18,Таблицы!E244,1)</f>
        <v>#VALUE!</v>
      </c>
      <c r="Z232" s="78" t="s">
        <v>596</v>
      </c>
      <c r="AA232" s="1" t="s">
        <v>285</v>
      </c>
      <c r="AB232" s="1">
        <v>3000</v>
      </c>
      <c r="AC232" s="1" t="s">
        <v>884</v>
      </c>
      <c r="AD232" s="1" t="s">
        <v>887</v>
      </c>
      <c r="AE232" s="1">
        <v>5</v>
      </c>
      <c r="AF232" s="1" t="s">
        <v>285</v>
      </c>
      <c r="AG232" s="1" t="s">
        <v>285</v>
      </c>
      <c r="AH232" s="1" t="s">
        <v>285</v>
      </c>
      <c r="AI232" s="1">
        <v>1</v>
      </c>
      <c r="AJ232" s="1" t="s">
        <v>285</v>
      </c>
      <c r="AK232" s="1" t="s">
        <v>881</v>
      </c>
      <c r="AL232" s="1">
        <v>2</v>
      </c>
    </row>
    <row r="233" spans="5:38" ht="12.75">
      <c r="E233" s="78" t="s">
        <v>1080</v>
      </c>
      <c r="F233" s="78" t="b">
        <v>0</v>
      </c>
      <c r="G233" s="78" t="b">
        <v>0</v>
      </c>
      <c r="H233" s="78" t="b">
        <v>0</v>
      </c>
      <c r="I233" s="78" t="b">
        <v>0</v>
      </c>
      <c r="J233" s="78" t="b">
        <v>0</v>
      </c>
      <c r="K233" s="78" t="b">
        <v>0</v>
      </c>
      <c r="L233" s="78" t="b">
        <v>0</v>
      </c>
      <c r="Z233" s="78" t="s">
        <v>597</v>
      </c>
      <c r="AA233" s="1" t="s">
        <v>285</v>
      </c>
      <c r="AB233" s="1">
        <v>3000</v>
      </c>
      <c r="AC233" s="1" t="s">
        <v>885</v>
      </c>
      <c r="AD233" s="1" t="s">
        <v>888</v>
      </c>
      <c r="AE233" s="1">
        <v>6</v>
      </c>
      <c r="AF233" s="1" t="s">
        <v>285</v>
      </c>
      <c r="AG233" s="1" t="s">
        <v>285</v>
      </c>
      <c r="AH233" s="1" t="s">
        <v>285</v>
      </c>
      <c r="AI233" s="1">
        <v>8</v>
      </c>
      <c r="AJ233" s="1" t="s">
        <v>285</v>
      </c>
      <c r="AK233" s="1" t="s">
        <v>881</v>
      </c>
      <c r="AL233" s="1">
        <v>2</v>
      </c>
    </row>
    <row r="234" spans="5:38" ht="12.75">
      <c r="E234" s="78">
        <f>IF(F233=TRUE,1,IF(G233=TRUE,2,IF(H233=TRUE,3,IF(I233=TRUE,4,IF(J233=TRUE,5,IF(K233=TRUE,6,IF(L233=TRUE,7,0)))))))</f>
        <v>0</v>
      </c>
      <c r="F234" s="78" t="e">
        <f>INDEX(F232:L232,1,E234)</f>
        <v>#VALUE!</v>
      </c>
      <c r="Z234" s="78" t="s">
        <v>590</v>
      </c>
      <c r="AA234" s="1" t="s">
        <v>285</v>
      </c>
      <c r="AB234" s="78" t="s">
        <v>285</v>
      </c>
      <c r="AC234" s="1" t="s">
        <v>882</v>
      </c>
      <c r="AD234" s="1" t="s">
        <v>285</v>
      </c>
      <c r="AE234" s="1" t="s">
        <v>285</v>
      </c>
      <c r="AF234" s="1" t="s">
        <v>285</v>
      </c>
      <c r="AG234" s="1" t="s">
        <v>285</v>
      </c>
      <c r="AH234" s="1" t="s">
        <v>285</v>
      </c>
      <c r="AI234" s="1" t="s">
        <v>285</v>
      </c>
      <c r="AJ234" s="1" t="s">
        <v>285</v>
      </c>
      <c r="AK234" s="1" t="s">
        <v>890</v>
      </c>
      <c r="AL234" s="1">
        <v>2</v>
      </c>
    </row>
    <row r="235" spans="5:38" ht="12.75">
      <c r="E235" s="78" t="s">
        <v>1082</v>
      </c>
      <c r="F235" s="78" t="b">
        <v>0</v>
      </c>
      <c r="H235" s="78" t="b">
        <v>0</v>
      </c>
      <c r="Z235" s="78" t="s">
        <v>591</v>
      </c>
      <c r="AA235" s="1" t="s">
        <v>285</v>
      </c>
      <c r="AB235" s="78" t="s">
        <v>285</v>
      </c>
      <c r="AC235" s="1" t="s">
        <v>882</v>
      </c>
      <c r="AD235" s="1" t="s">
        <v>285</v>
      </c>
      <c r="AE235" s="1" t="s">
        <v>285</v>
      </c>
      <c r="AF235" s="1" t="s">
        <v>285</v>
      </c>
      <c r="AG235" s="1" t="s">
        <v>285</v>
      </c>
      <c r="AH235" s="1" t="s">
        <v>285</v>
      </c>
      <c r="AI235" s="1" t="s">
        <v>285</v>
      </c>
      <c r="AJ235" s="1" t="s">
        <v>285</v>
      </c>
      <c r="AK235" s="1" t="s">
        <v>891</v>
      </c>
      <c r="AL235" s="1">
        <v>2</v>
      </c>
    </row>
    <row r="236" spans="5:38" ht="12.75">
      <c r="E236" s="78">
        <f>IF(F235=TRUE,1,IF(H235=TRUE,2,0))</f>
        <v>0</v>
      </c>
      <c r="Z236" s="78" t="s">
        <v>592</v>
      </c>
      <c r="AA236" s="1" t="s">
        <v>889</v>
      </c>
      <c r="AB236" s="78" t="s">
        <v>285</v>
      </c>
      <c r="AC236" s="1" t="s">
        <v>882</v>
      </c>
      <c r="AD236" s="1" t="s">
        <v>285</v>
      </c>
      <c r="AE236" s="1" t="s">
        <v>285</v>
      </c>
      <c r="AF236" s="1" t="s">
        <v>285</v>
      </c>
      <c r="AG236" s="1" t="s">
        <v>285</v>
      </c>
      <c r="AH236" s="1" t="s">
        <v>285</v>
      </c>
      <c r="AI236" s="1" t="s">
        <v>285</v>
      </c>
      <c r="AJ236" s="1" t="s">
        <v>285</v>
      </c>
      <c r="AK236" s="1" t="s">
        <v>892</v>
      </c>
      <c r="AL236" s="1">
        <v>2</v>
      </c>
    </row>
    <row r="237" spans="5:38" ht="12.75">
      <c r="E237" s="2" t="s">
        <v>1086</v>
      </c>
      <c r="F237" s="78">
        <v>2</v>
      </c>
      <c r="G237" s="78">
        <v>4</v>
      </c>
      <c r="H237" s="78">
        <v>6</v>
      </c>
      <c r="I237" s="78">
        <v>8</v>
      </c>
      <c r="J237" s="78">
        <v>10</v>
      </c>
      <c r="K237" s="78">
        <v>12</v>
      </c>
      <c r="L237" s="78">
        <v>20</v>
      </c>
      <c r="M237" s="78">
        <v>100</v>
      </c>
      <c r="Z237" s="78" t="s">
        <v>598</v>
      </c>
      <c r="AA237" s="1" t="s">
        <v>285</v>
      </c>
      <c r="AB237" s="1" t="s">
        <v>285</v>
      </c>
      <c r="AC237" s="1" t="s">
        <v>882</v>
      </c>
      <c r="AD237" s="1" t="s">
        <v>285</v>
      </c>
      <c r="AE237" s="1" t="s">
        <v>285</v>
      </c>
      <c r="AF237" s="1" t="s">
        <v>285</v>
      </c>
      <c r="AG237" s="1" t="s">
        <v>285</v>
      </c>
      <c r="AH237" s="1" t="s">
        <v>285</v>
      </c>
      <c r="AI237" s="1" t="s">
        <v>285</v>
      </c>
      <c r="AJ237" s="1" t="s">
        <v>285</v>
      </c>
      <c r="AK237" s="1" t="s">
        <v>893</v>
      </c>
      <c r="AL237" s="1">
        <v>2</v>
      </c>
    </row>
    <row r="238" spans="5:38" ht="12.75">
      <c r="E238" s="78" t="s">
        <v>1083</v>
      </c>
      <c r="F238" s="78" t="b">
        <v>0</v>
      </c>
      <c r="G238" s="78" t="b">
        <v>0</v>
      </c>
      <c r="H238" s="78" t="b">
        <v>0</v>
      </c>
      <c r="I238" s="78" t="b">
        <v>0</v>
      </c>
      <c r="J238" s="78" t="b">
        <v>0</v>
      </c>
      <c r="K238" s="78" t="b">
        <v>0</v>
      </c>
      <c r="L238" s="78" t="b">
        <v>0</v>
      </c>
      <c r="M238" s="78" t="b">
        <v>0</v>
      </c>
      <c r="Z238" s="78" t="s">
        <v>599</v>
      </c>
      <c r="AA238" s="1" t="s">
        <v>285</v>
      </c>
      <c r="AB238" s="1" t="s">
        <v>285</v>
      </c>
      <c r="AC238" s="1" t="s">
        <v>882</v>
      </c>
      <c r="AD238" s="1" t="s">
        <v>285</v>
      </c>
      <c r="AE238" s="1" t="s">
        <v>285</v>
      </c>
      <c r="AF238" s="1" t="s">
        <v>285</v>
      </c>
      <c r="AG238" s="1" t="s">
        <v>285</v>
      </c>
      <c r="AH238" s="1" t="s">
        <v>285</v>
      </c>
      <c r="AI238" s="1" t="s">
        <v>285</v>
      </c>
      <c r="AJ238" s="1" t="s">
        <v>285</v>
      </c>
      <c r="AK238" s="1" t="s">
        <v>894</v>
      </c>
      <c r="AL238" s="1">
        <v>2</v>
      </c>
    </row>
    <row r="239" spans="5:38" ht="12.75">
      <c r="E239" s="78">
        <f>IF(F238=TRUE,F237,IF(G238=TRUE,G237,IF(H238=TRUE,H237,IF(I238=TRUE,I237,IF(J238=TRUE,J237,IF(K238=TRUE,K237,IF(L238=TRUE,L237,IF(M238=TRUE,M237,1))))))))</f>
        <v>1</v>
      </c>
      <c r="Z239" s="78" t="s">
        <v>600</v>
      </c>
      <c r="AA239" s="1" t="s">
        <v>285</v>
      </c>
      <c r="AB239" s="1" t="s">
        <v>285</v>
      </c>
      <c r="AC239" s="1" t="s">
        <v>882</v>
      </c>
      <c r="AD239" s="1" t="s">
        <v>285</v>
      </c>
      <c r="AE239" s="1" t="s">
        <v>285</v>
      </c>
      <c r="AF239" s="1" t="s">
        <v>285</v>
      </c>
      <c r="AG239" s="1" t="s">
        <v>285</v>
      </c>
      <c r="AH239" s="1" t="s">
        <v>285</v>
      </c>
      <c r="AI239" s="1" t="s">
        <v>285</v>
      </c>
      <c r="AJ239" s="1" t="s">
        <v>285</v>
      </c>
      <c r="AK239" s="1" t="s">
        <v>895</v>
      </c>
      <c r="AL239" s="1">
        <v>2</v>
      </c>
    </row>
    <row r="240" ht="12.75">
      <c r="Z240" s="78" t="s">
        <v>1135</v>
      </c>
    </row>
    <row r="241" spans="6:38" ht="12.75">
      <c r="F241" s="78" t="s">
        <v>1094</v>
      </c>
      <c r="G241" s="78" t="s">
        <v>1095</v>
      </c>
      <c r="H241" s="78" t="s">
        <v>1096</v>
      </c>
      <c r="I241" s="78" t="s">
        <v>1093</v>
      </c>
      <c r="J241" s="78" t="s">
        <v>1092</v>
      </c>
      <c r="K241" s="78" t="s">
        <v>1097</v>
      </c>
      <c r="Z241" s="78">
        <f>IF(Разное!AN61="","",Разное!AN61)</f>
      </c>
      <c r="AA241" s="1">
        <f>Разное!AZ61</f>
        <v>0</v>
      </c>
      <c r="AB241" s="1">
        <f>Разное!AJ64</f>
        <v>0</v>
      </c>
      <c r="AC241" s="88">
        <f>Разное!AO64</f>
        <v>0</v>
      </c>
      <c r="AD241" s="1">
        <f>Разное!AX64</f>
        <v>0</v>
      </c>
      <c r="AE241" s="1">
        <f>Разное!AL66</f>
        <v>0</v>
      </c>
      <c r="AF241" s="1">
        <f>Разное!AO66</f>
        <v>0</v>
      </c>
      <c r="AG241" s="1">
        <f>Разное!AR66</f>
        <v>0</v>
      </c>
      <c r="AH241" s="78">
        <f>Разное!AZ66</f>
        <v>0</v>
      </c>
      <c r="AI241" s="78">
        <f>Разное!AT68</f>
        <v>0</v>
      </c>
      <c r="AK241" s="95">
        <f>Разное!AI68</f>
        <v>0</v>
      </c>
      <c r="AL241" s="78">
        <f>Разное!AZ68</f>
        <v>0</v>
      </c>
    </row>
    <row r="242" spans="5:33" ht="12.75">
      <c r="E242" s="78" t="s">
        <v>1091</v>
      </c>
      <c r="AA242" s="1"/>
      <c r="AB242" s="1"/>
      <c r="AC242" s="1"/>
      <c r="AD242" s="1"/>
      <c r="AE242" s="1"/>
      <c r="AF242" s="1"/>
      <c r="AG242" s="1"/>
    </row>
    <row r="243" spans="5:33" ht="12.75">
      <c r="E243" s="78">
        <f>IF(E234=1,AO35,IF(E234=2,AS35,IF(E234=3,AW35,IF(E234=4,BA35,IF(E234=5,BE35,IF(E234=6,BI35,IF(E234=7,BM,0)))))))</f>
        <v>0</v>
      </c>
      <c r="AA243" s="1"/>
      <c r="AB243" s="1"/>
      <c r="AC243" s="1"/>
      <c r="AD243" s="1"/>
      <c r="AE243" s="1"/>
      <c r="AF243" s="1"/>
      <c r="AG243" s="1"/>
    </row>
    <row r="244" spans="4:32" ht="15.75">
      <c r="D244" s="78" t="s">
        <v>1130</v>
      </c>
      <c r="E244" s="78">
        <f>IF(E243=1,1,IF(E243=2,3,IF(E243=3,5,IF(E243=4,7,IF(E243=5,9,IF(E243=6,11,0))))))</f>
        <v>0</v>
      </c>
      <c r="Z244" s="96" t="s">
        <v>420</v>
      </c>
      <c r="AA244" s="78" t="s">
        <v>601</v>
      </c>
      <c r="AB244" s="1" t="s">
        <v>174</v>
      </c>
      <c r="AC244" s="1" t="s">
        <v>223</v>
      </c>
      <c r="AD244" s="1" t="s">
        <v>826</v>
      </c>
      <c r="AE244" s="1" t="s">
        <v>825</v>
      </c>
      <c r="AF244" s="1" t="s">
        <v>763</v>
      </c>
    </row>
    <row r="245" spans="25:32" ht="12.75">
      <c r="Y245" s="78">
        <v>1</v>
      </c>
      <c r="Z245" s="97" t="s">
        <v>151</v>
      </c>
      <c r="AB245" s="1"/>
      <c r="AC245" s="1"/>
      <c r="AD245" s="1"/>
      <c r="AE245" s="1"/>
      <c r="AF245" s="1"/>
    </row>
    <row r="246" spans="5:32" ht="12.75">
      <c r="E246" s="78" t="s">
        <v>1129</v>
      </c>
      <c r="F246" s="78" t="b">
        <v>0</v>
      </c>
      <c r="G246" s="78" t="b">
        <v>0</v>
      </c>
      <c r="Y246" s="78">
        <v>1</v>
      </c>
      <c r="Z246" s="98" t="s">
        <v>422</v>
      </c>
      <c r="AA246" s="1">
        <v>100</v>
      </c>
      <c r="AB246" s="1">
        <v>0</v>
      </c>
      <c r="AC246" s="1">
        <v>0</v>
      </c>
      <c r="AD246" s="1">
        <v>100</v>
      </c>
      <c r="AE246" s="1" t="s">
        <v>724</v>
      </c>
      <c r="AF246" s="1"/>
    </row>
    <row r="247" spans="5:32" ht="12.75">
      <c r="E247" s="78">
        <f>IF(F246=TRUE,1,IF(G246=TRUE,2,0))</f>
        <v>0</v>
      </c>
      <c r="Y247" s="78">
        <v>1</v>
      </c>
      <c r="Z247" s="98" t="s">
        <v>421</v>
      </c>
      <c r="AA247" s="1">
        <v>5</v>
      </c>
      <c r="AB247" s="1">
        <v>0</v>
      </c>
      <c r="AC247" s="1">
        <v>0</v>
      </c>
      <c r="AD247" s="1">
        <v>5</v>
      </c>
      <c r="AE247" s="1" t="s">
        <v>724</v>
      </c>
      <c r="AF247" s="1"/>
    </row>
    <row r="248" spans="25:32" ht="12.75">
      <c r="Y248" s="78">
        <v>1</v>
      </c>
      <c r="Z248" s="98" t="s">
        <v>402</v>
      </c>
      <c r="AA248" s="1">
        <v>5</v>
      </c>
      <c r="AB248" s="1">
        <v>0</v>
      </c>
      <c r="AC248" s="1">
        <v>0</v>
      </c>
      <c r="AD248" s="1">
        <v>5</v>
      </c>
      <c r="AE248" s="1" t="s">
        <v>827</v>
      </c>
      <c r="AF248" s="1"/>
    </row>
    <row r="249" spans="25:32" ht="12.75">
      <c r="Y249" s="78">
        <v>1</v>
      </c>
      <c r="Z249" s="98" t="s">
        <v>423</v>
      </c>
      <c r="AA249" s="1">
        <v>5</v>
      </c>
      <c r="AB249" s="1">
        <v>0</v>
      </c>
      <c r="AC249" s="1">
        <v>0</v>
      </c>
      <c r="AD249" s="1">
        <v>5</v>
      </c>
      <c r="AE249" s="1" t="s">
        <v>807</v>
      </c>
      <c r="AF249" s="1"/>
    </row>
    <row r="250" spans="25:32" ht="12.75">
      <c r="Y250" s="78">
        <v>1</v>
      </c>
      <c r="Z250" s="98" t="s">
        <v>424</v>
      </c>
      <c r="AA250" s="1">
        <v>5</v>
      </c>
      <c r="AB250" s="1">
        <v>0</v>
      </c>
      <c r="AC250" s="1">
        <v>0</v>
      </c>
      <c r="AD250" s="1">
        <v>1</v>
      </c>
      <c r="AE250" s="1" t="s">
        <v>828</v>
      </c>
      <c r="AF250" s="1"/>
    </row>
    <row r="251" spans="25:32" ht="12.75">
      <c r="Y251" s="78">
        <v>1</v>
      </c>
      <c r="Z251" s="98" t="s">
        <v>425</v>
      </c>
      <c r="AA251" s="1">
        <v>150</v>
      </c>
      <c r="AB251" s="1">
        <v>0</v>
      </c>
      <c r="AC251" s="1">
        <v>0</v>
      </c>
      <c r="AD251" s="1">
        <v>50</v>
      </c>
      <c r="AE251" s="1" t="s">
        <v>807</v>
      </c>
      <c r="AF251" s="1"/>
    </row>
    <row r="252" spans="25:32" ht="12.75">
      <c r="Y252" s="78">
        <v>1</v>
      </c>
      <c r="Z252" s="98" t="s">
        <v>428</v>
      </c>
      <c r="AA252" s="1">
        <v>350</v>
      </c>
      <c r="AB252" s="1">
        <v>0</v>
      </c>
      <c r="AC252" s="1">
        <v>-20</v>
      </c>
      <c r="AD252" s="1">
        <v>20</v>
      </c>
      <c r="AE252" s="1" t="s">
        <v>829</v>
      </c>
      <c r="AF252" s="1"/>
    </row>
    <row r="253" spans="25:32" ht="12.75">
      <c r="Y253" s="78">
        <v>1</v>
      </c>
      <c r="Z253" s="98" t="s">
        <v>426</v>
      </c>
      <c r="AA253" s="1">
        <v>400</v>
      </c>
      <c r="AB253" s="1">
        <v>0</v>
      </c>
      <c r="AC253" s="1">
        <v>-10</v>
      </c>
      <c r="AD253" s="1">
        <v>20</v>
      </c>
      <c r="AE253" s="1" t="s">
        <v>741</v>
      </c>
      <c r="AF253" s="1"/>
    </row>
    <row r="254" spans="25:32" ht="12.75">
      <c r="Y254" s="78">
        <v>1</v>
      </c>
      <c r="Z254" s="98" t="s">
        <v>427</v>
      </c>
      <c r="AA254" s="1">
        <v>400</v>
      </c>
      <c r="AB254" s="1">
        <v>-15</v>
      </c>
      <c r="AC254" s="1">
        <v>0</v>
      </c>
      <c r="AD254" s="1">
        <v>20</v>
      </c>
      <c r="AE254" s="1" t="s">
        <v>807</v>
      </c>
      <c r="AF254" s="78" t="s">
        <v>830</v>
      </c>
    </row>
    <row r="255" spans="25:31" ht="12.75">
      <c r="Y255" s="78">
        <v>1</v>
      </c>
      <c r="Z255" s="99" t="s">
        <v>430</v>
      </c>
      <c r="AA255" s="1">
        <v>400</v>
      </c>
      <c r="AB255" s="1">
        <v>0</v>
      </c>
      <c r="AC255" s="1">
        <v>0</v>
      </c>
      <c r="AD255" s="1">
        <v>50</v>
      </c>
      <c r="AE255" s="1" t="s">
        <v>833</v>
      </c>
    </row>
    <row r="256" spans="25:31" ht="12.75">
      <c r="Y256" s="78">
        <v>1</v>
      </c>
      <c r="Z256" s="98" t="s">
        <v>429</v>
      </c>
      <c r="AA256" s="1">
        <v>300</v>
      </c>
      <c r="AB256" s="1">
        <v>0</v>
      </c>
      <c r="AC256" s="1">
        <v>0</v>
      </c>
      <c r="AD256" s="1">
        <v>50</v>
      </c>
      <c r="AE256" s="1" t="s">
        <v>741</v>
      </c>
    </row>
    <row r="257" spans="25:31" ht="12.75">
      <c r="Y257" s="78">
        <v>1</v>
      </c>
      <c r="Z257" s="98" t="s">
        <v>431</v>
      </c>
      <c r="AA257" s="1">
        <v>150</v>
      </c>
      <c r="AB257" s="1">
        <v>-10</v>
      </c>
      <c r="AC257" s="1">
        <v>-10</v>
      </c>
      <c r="AD257" s="1">
        <v>50</v>
      </c>
      <c r="AE257" s="1" t="s">
        <v>807</v>
      </c>
    </row>
    <row r="258" spans="25:31" ht="12.75">
      <c r="Y258" s="78">
        <v>1</v>
      </c>
      <c r="Z258" s="98" t="s">
        <v>432</v>
      </c>
      <c r="AA258" s="1">
        <v>100</v>
      </c>
      <c r="AB258" s="1">
        <v>0</v>
      </c>
      <c r="AC258" s="1">
        <v>0</v>
      </c>
      <c r="AD258" s="1">
        <v>10</v>
      </c>
      <c r="AE258" s="1" t="s">
        <v>807</v>
      </c>
    </row>
    <row r="259" spans="26:31" ht="12.75">
      <c r="Z259" s="98" t="s">
        <v>433</v>
      </c>
      <c r="AA259" s="1">
        <v>150</v>
      </c>
      <c r="AB259" s="1">
        <v>0</v>
      </c>
      <c r="AC259" s="1">
        <v>0</v>
      </c>
      <c r="AD259" s="1">
        <v>20</v>
      </c>
      <c r="AE259" s="1" t="s">
        <v>829</v>
      </c>
    </row>
    <row r="260" spans="26:31" ht="12.75">
      <c r="Z260" s="98" t="s">
        <v>434</v>
      </c>
      <c r="AA260" s="1">
        <v>200</v>
      </c>
      <c r="AB260" s="1">
        <v>0</v>
      </c>
      <c r="AC260" s="1">
        <v>-10</v>
      </c>
      <c r="AD260" s="1">
        <v>20</v>
      </c>
      <c r="AE260" s="1" t="s">
        <v>829</v>
      </c>
    </row>
    <row r="261" spans="26:31" ht="12.75">
      <c r="Z261" s="98" t="s">
        <v>436</v>
      </c>
      <c r="AA261" s="1">
        <v>250</v>
      </c>
      <c r="AB261" s="1">
        <v>0</v>
      </c>
      <c r="AC261" s="1">
        <v>0</v>
      </c>
      <c r="AD261" s="1">
        <v>20</v>
      </c>
      <c r="AE261" s="1" t="s">
        <v>741</v>
      </c>
    </row>
    <row r="262" spans="26:32" ht="12.75">
      <c r="Z262" s="98" t="s">
        <v>435</v>
      </c>
      <c r="AA262" s="1">
        <v>250</v>
      </c>
      <c r="AB262" s="1">
        <v>-10</v>
      </c>
      <c r="AC262" s="1">
        <v>0</v>
      </c>
      <c r="AD262" s="1">
        <v>20</v>
      </c>
      <c r="AE262" s="1" t="s">
        <v>807</v>
      </c>
      <c r="AF262" s="78" t="s">
        <v>830</v>
      </c>
    </row>
    <row r="263" spans="26:33" ht="12.75">
      <c r="Z263" s="98" t="s">
        <v>437</v>
      </c>
      <c r="AA263" s="1">
        <v>150</v>
      </c>
      <c r="AB263" s="1">
        <v>0</v>
      </c>
      <c r="AC263" s="1">
        <v>-5</v>
      </c>
      <c r="AD263" s="1">
        <v>50</v>
      </c>
      <c r="AE263" s="1" t="s">
        <v>807</v>
      </c>
      <c r="AF263" s="1"/>
      <c r="AG263" s="1"/>
    </row>
    <row r="264" spans="26:33" ht="12.75">
      <c r="Z264" s="98" t="s">
        <v>438</v>
      </c>
      <c r="AA264" s="1">
        <v>800</v>
      </c>
      <c r="AB264" s="1">
        <v>-10</v>
      </c>
      <c r="AC264" s="1">
        <v>-10</v>
      </c>
      <c r="AD264" s="1">
        <v>100</v>
      </c>
      <c r="AE264" s="1" t="s">
        <v>829</v>
      </c>
      <c r="AF264" s="1"/>
      <c r="AG264" s="1"/>
    </row>
    <row r="265" spans="26:33" ht="12.75">
      <c r="Z265" s="98" t="s">
        <v>1141</v>
      </c>
      <c r="AA265" s="1">
        <v>1600</v>
      </c>
      <c r="AB265" s="1">
        <v>-30</v>
      </c>
      <c r="AC265" s="1">
        <v>-50</v>
      </c>
      <c r="AD265" s="1">
        <v>100</v>
      </c>
      <c r="AE265" s="1" t="s">
        <v>829</v>
      </c>
      <c r="AF265" s="1"/>
      <c r="AG265" s="1"/>
    </row>
    <row r="266" spans="26:33" ht="12.75">
      <c r="Z266" s="98" t="s">
        <v>439</v>
      </c>
      <c r="AA266" s="1">
        <v>1000</v>
      </c>
      <c r="AB266" s="1">
        <v>-10</v>
      </c>
      <c r="AC266" s="1">
        <v>-20</v>
      </c>
      <c r="AD266" s="1">
        <v>100</v>
      </c>
      <c r="AE266" s="1" t="s">
        <v>807</v>
      </c>
      <c r="AF266" s="1"/>
      <c r="AG266" s="1"/>
    </row>
    <row r="267" spans="26:33" ht="12.75">
      <c r="Z267" s="98" t="s">
        <v>441</v>
      </c>
      <c r="AA267" s="1">
        <v>150</v>
      </c>
      <c r="AB267" s="1">
        <v>0</v>
      </c>
      <c r="AC267" s="1">
        <v>0</v>
      </c>
      <c r="AD267" s="1">
        <v>20</v>
      </c>
      <c r="AE267" s="1" t="s">
        <v>741</v>
      </c>
      <c r="AF267" s="1"/>
      <c r="AG267" s="1"/>
    </row>
    <row r="268" spans="26:33" ht="12.75">
      <c r="Z268" s="98" t="s">
        <v>440</v>
      </c>
      <c r="AA268" s="1">
        <v>150</v>
      </c>
      <c r="AB268" s="1">
        <v>0</v>
      </c>
      <c r="AC268" s="1">
        <v>0</v>
      </c>
      <c r="AD268" s="1">
        <v>20</v>
      </c>
      <c r="AE268" s="1" t="s">
        <v>829</v>
      </c>
      <c r="AF268" s="1"/>
      <c r="AG268" s="1"/>
    </row>
    <row r="269" spans="26:33" ht="12.75">
      <c r="Z269" s="98" t="s">
        <v>442</v>
      </c>
      <c r="AA269" s="1">
        <v>500</v>
      </c>
      <c r="AB269" s="1">
        <v>0</v>
      </c>
      <c r="AC269" s="1">
        <v>0</v>
      </c>
      <c r="AD269" s="1">
        <v>20</v>
      </c>
      <c r="AE269" s="1" t="s">
        <v>834</v>
      </c>
      <c r="AF269" s="1" t="s">
        <v>835</v>
      </c>
      <c r="AG269" s="1"/>
    </row>
    <row r="270" spans="26:33" ht="12.75">
      <c r="Z270" s="98" t="s">
        <v>443</v>
      </c>
      <c r="AA270" s="1">
        <v>100</v>
      </c>
      <c r="AB270" s="1">
        <v>0</v>
      </c>
      <c r="AC270" s="1">
        <v>0</v>
      </c>
      <c r="AD270" s="1">
        <v>20</v>
      </c>
      <c r="AE270" s="1" t="s">
        <v>724</v>
      </c>
      <c r="AF270" s="1"/>
      <c r="AG270" s="1"/>
    </row>
    <row r="271" spans="26:33" ht="12.75">
      <c r="Z271" s="98" t="s">
        <v>444</v>
      </c>
      <c r="AA271" s="1">
        <v>2000</v>
      </c>
      <c r="AB271" s="1">
        <v>-20</v>
      </c>
      <c r="AC271" s="1">
        <v>-20</v>
      </c>
      <c r="AD271" s="1">
        <v>20</v>
      </c>
      <c r="AE271" s="1" t="s">
        <v>741</v>
      </c>
      <c r="AF271" s="1"/>
      <c r="AG271" s="1"/>
    </row>
    <row r="272" spans="26:33" ht="12.75">
      <c r="Z272" s="98" t="s">
        <v>445</v>
      </c>
      <c r="AA272" s="1">
        <v>1000</v>
      </c>
      <c r="AB272" s="1">
        <v>-10</v>
      </c>
      <c r="AC272" s="1">
        <v>-10</v>
      </c>
      <c r="AD272" s="1">
        <v>20</v>
      </c>
      <c r="AE272" s="1" t="s">
        <v>741</v>
      </c>
      <c r="AF272" s="1"/>
      <c r="AG272" s="1"/>
    </row>
    <row r="273" spans="26:33" ht="12.75">
      <c r="Z273" s="98" t="s">
        <v>446</v>
      </c>
      <c r="AA273" s="1">
        <v>400</v>
      </c>
      <c r="AB273" s="1">
        <v>0</v>
      </c>
      <c r="AC273" s="1">
        <v>-10</v>
      </c>
      <c r="AD273" s="1">
        <v>50</v>
      </c>
      <c r="AE273" s="1" t="s">
        <v>807</v>
      </c>
      <c r="AF273" s="1"/>
      <c r="AG273" s="1"/>
    </row>
    <row r="274" spans="26:33" ht="12.75">
      <c r="Z274" s="98" t="s">
        <v>447</v>
      </c>
      <c r="AA274" s="1">
        <v>500</v>
      </c>
      <c r="AB274" s="1">
        <v>0</v>
      </c>
      <c r="AC274" s="1">
        <v>0</v>
      </c>
      <c r="AD274" s="1">
        <v>50</v>
      </c>
      <c r="AE274" s="1" t="s">
        <v>829</v>
      </c>
      <c r="AF274" s="1"/>
      <c r="AG274" s="1"/>
    </row>
    <row r="275" spans="26:33" ht="12.75">
      <c r="Z275" s="98" t="s">
        <v>448</v>
      </c>
      <c r="AA275" s="1">
        <v>500</v>
      </c>
      <c r="AB275" s="1">
        <v>-10</v>
      </c>
      <c r="AC275" s="1">
        <v>0</v>
      </c>
      <c r="AD275" s="1">
        <v>50</v>
      </c>
      <c r="AE275" s="1" t="s">
        <v>724</v>
      </c>
      <c r="AF275" s="1" t="s">
        <v>830</v>
      </c>
      <c r="AG275" s="1"/>
    </row>
    <row r="276" spans="26:33" ht="12.75">
      <c r="Z276" s="98" t="s">
        <v>449</v>
      </c>
      <c r="AA276" s="1">
        <v>600</v>
      </c>
      <c r="AB276" s="1">
        <v>0</v>
      </c>
      <c r="AC276" s="1">
        <v>-20</v>
      </c>
      <c r="AD276" s="1">
        <v>50</v>
      </c>
      <c r="AE276" s="1" t="s">
        <v>829</v>
      </c>
      <c r="AF276" s="1"/>
      <c r="AG276" s="1"/>
    </row>
    <row r="277" spans="26:33" ht="12.75">
      <c r="Z277" s="98" t="s">
        <v>450</v>
      </c>
      <c r="AA277" s="1">
        <v>300</v>
      </c>
      <c r="AB277" s="1">
        <v>0</v>
      </c>
      <c r="AC277" s="1">
        <v>0</v>
      </c>
      <c r="AD277" s="1">
        <v>50</v>
      </c>
      <c r="AE277" s="1" t="s">
        <v>741</v>
      </c>
      <c r="AF277" s="1"/>
      <c r="AG277" s="1"/>
    </row>
    <row r="278" spans="26:33" ht="12.75">
      <c r="Z278" s="98" t="s">
        <v>451</v>
      </c>
      <c r="AA278" s="1">
        <v>300</v>
      </c>
      <c r="AB278" s="1">
        <v>0</v>
      </c>
      <c r="AC278" s="1">
        <v>0</v>
      </c>
      <c r="AD278" s="1">
        <v>50</v>
      </c>
      <c r="AE278" s="1" t="s">
        <v>829</v>
      </c>
      <c r="AF278" s="1"/>
      <c r="AG278" s="1"/>
    </row>
    <row r="279" spans="26:33" ht="12.75">
      <c r="Z279" s="98" t="s">
        <v>452</v>
      </c>
      <c r="AA279" s="1">
        <v>150</v>
      </c>
      <c r="AB279" s="1">
        <v>0</v>
      </c>
      <c r="AC279" s="1">
        <v>0</v>
      </c>
      <c r="AD279" s="1">
        <v>20</v>
      </c>
      <c r="AE279" s="1" t="s">
        <v>807</v>
      </c>
      <c r="AF279" s="1"/>
      <c r="AG279" s="1"/>
    </row>
    <row r="280" spans="26:33" ht="12.75">
      <c r="Z280" s="98" t="s">
        <v>453</v>
      </c>
      <c r="AA280" s="1">
        <v>200</v>
      </c>
      <c r="AB280" s="1">
        <v>0</v>
      </c>
      <c r="AC280" s="1">
        <v>-10</v>
      </c>
      <c r="AD280" s="1">
        <v>20</v>
      </c>
      <c r="AE280" s="1" t="s">
        <v>807</v>
      </c>
      <c r="AF280" s="1"/>
      <c r="AG280" s="1"/>
    </row>
    <row r="281" spans="26:33" ht="12.75">
      <c r="Z281" s="98" t="s">
        <v>454</v>
      </c>
      <c r="AA281" s="1">
        <v>250</v>
      </c>
      <c r="AB281" s="1">
        <v>0</v>
      </c>
      <c r="AC281" s="1">
        <v>0</v>
      </c>
      <c r="AD281" s="1">
        <v>20</v>
      </c>
      <c r="AE281" s="1" t="s">
        <v>829</v>
      </c>
      <c r="AF281" s="1"/>
      <c r="AG281" s="1"/>
    </row>
    <row r="282" spans="26:33" ht="12.75">
      <c r="Z282" s="98" t="s">
        <v>455</v>
      </c>
      <c r="AA282" s="1">
        <v>250</v>
      </c>
      <c r="AB282" s="1">
        <v>-10</v>
      </c>
      <c r="AC282" s="1">
        <v>0</v>
      </c>
      <c r="AD282" s="1">
        <v>20</v>
      </c>
      <c r="AE282" s="1" t="s">
        <v>724</v>
      </c>
      <c r="AF282" s="1" t="s">
        <v>830</v>
      </c>
      <c r="AG282" s="1"/>
    </row>
    <row r="283" spans="26:33" ht="12.75">
      <c r="Z283" s="98" t="s">
        <v>456</v>
      </c>
      <c r="AA283" s="1">
        <v>300</v>
      </c>
      <c r="AB283" s="1">
        <v>0</v>
      </c>
      <c r="AC283" s="1">
        <v>-10</v>
      </c>
      <c r="AD283" s="1">
        <v>20</v>
      </c>
      <c r="AE283" s="1" t="s">
        <v>807</v>
      </c>
      <c r="AF283" s="1"/>
      <c r="AG283" s="1"/>
    </row>
    <row r="284" spans="26:33" ht="12.75">
      <c r="Z284" s="98" t="s">
        <v>457</v>
      </c>
      <c r="AA284" s="1">
        <v>350</v>
      </c>
      <c r="AB284" s="1">
        <v>0</v>
      </c>
      <c r="AC284" s="1">
        <v>0</v>
      </c>
      <c r="AD284" s="1">
        <v>20</v>
      </c>
      <c r="AE284" s="1" t="s">
        <v>829</v>
      </c>
      <c r="AF284" s="1"/>
      <c r="AG284" s="1"/>
    </row>
    <row r="285" spans="26:33" ht="12.75">
      <c r="Z285" s="98" t="s">
        <v>458</v>
      </c>
      <c r="AA285" s="1">
        <v>350</v>
      </c>
      <c r="AB285" s="1">
        <v>-10</v>
      </c>
      <c r="AC285" s="1">
        <v>0</v>
      </c>
      <c r="AD285" s="1">
        <v>20</v>
      </c>
      <c r="AE285" s="1" t="s">
        <v>724</v>
      </c>
      <c r="AF285" s="1" t="s">
        <v>830</v>
      </c>
      <c r="AG285" s="1"/>
    </row>
    <row r="286" spans="26:33" ht="12.75">
      <c r="Z286" s="98" t="s">
        <v>459</v>
      </c>
      <c r="AA286" s="1">
        <v>1000</v>
      </c>
      <c r="AB286" s="1">
        <v>0</v>
      </c>
      <c r="AC286" s="1">
        <v>-20</v>
      </c>
      <c r="AD286" s="1">
        <v>20</v>
      </c>
      <c r="AE286" s="1" t="s">
        <v>741</v>
      </c>
      <c r="AF286" s="1"/>
      <c r="AG286" s="1"/>
    </row>
    <row r="287" spans="26:33" ht="12.75">
      <c r="Z287" s="98" t="s">
        <v>460</v>
      </c>
      <c r="AA287" s="1">
        <v>1200</v>
      </c>
      <c r="AB287" s="1">
        <v>0</v>
      </c>
      <c r="AC287" s="1">
        <v>-10</v>
      </c>
      <c r="AD287" s="1">
        <v>20</v>
      </c>
      <c r="AE287" s="1" t="s">
        <v>741</v>
      </c>
      <c r="AF287" s="1"/>
      <c r="AG287" s="1"/>
    </row>
    <row r="288" spans="26:33" ht="12.75">
      <c r="Z288" s="98" t="s">
        <v>461</v>
      </c>
      <c r="AA288" s="1">
        <v>1200</v>
      </c>
      <c r="AB288" s="1">
        <v>-20</v>
      </c>
      <c r="AC288" s="1">
        <v>0</v>
      </c>
      <c r="AD288" s="1">
        <v>20</v>
      </c>
      <c r="AE288" s="1" t="s">
        <v>829</v>
      </c>
      <c r="AF288" s="1" t="s">
        <v>830</v>
      </c>
      <c r="AG288" s="1"/>
    </row>
    <row r="289" spans="26:33" ht="12.75">
      <c r="Z289" s="98" t="s">
        <v>462</v>
      </c>
      <c r="AA289" s="1">
        <v>1500</v>
      </c>
      <c r="AB289" s="1">
        <v>0</v>
      </c>
      <c r="AC289" s="1">
        <v>0</v>
      </c>
      <c r="AD289" s="1">
        <v>10</v>
      </c>
      <c r="AE289" s="1" t="s">
        <v>836</v>
      </c>
      <c r="AF289" s="1"/>
      <c r="AG289" s="1"/>
    </row>
    <row r="290" spans="26:33" ht="12.75">
      <c r="Z290" s="98" t="s">
        <v>463</v>
      </c>
      <c r="AA290" s="1">
        <v>2000</v>
      </c>
      <c r="AB290" s="1">
        <v>0</v>
      </c>
      <c r="AC290" s="1">
        <v>0</v>
      </c>
      <c r="AD290" s="1">
        <v>10</v>
      </c>
      <c r="AE290" s="1" t="s">
        <v>837</v>
      </c>
      <c r="AF290" s="1" t="s">
        <v>830</v>
      </c>
      <c r="AG290" s="1"/>
    </row>
    <row r="291" spans="26:33" ht="12.75">
      <c r="Z291" s="98" t="s">
        <v>838</v>
      </c>
      <c r="AA291" s="1">
        <v>2300</v>
      </c>
      <c r="AB291" s="1">
        <v>0</v>
      </c>
      <c r="AC291" s="1">
        <v>0</v>
      </c>
      <c r="AD291" s="1">
        <v>10</v>
      </c>
      <c r="AE291" s="1" t="s">
        <v>839</v>
      </c>
      <c r="AF291" s="1"/>
      <c r="AG291" s="1"/>
    </row>
    <row r="292" spans="26:33" ht="12.75">
      <c r="Z292" s="98" t="s">
        <v>464</v>
      </c>
      <c r="AA292" s="1">
        <v>4000</v>
      </c>
      <c r="AB292" s="1">
        <v>0</v>
      </c>
      <c r="AC292" s="1">
        <v>0</v>
      </c>
      <c r="AD292" s="1">
        <v>10</v>
      </c>
      <c r="AE292" s="1" t="s">
        <v>800</v>
      </c>
      <c r="AF292" s="1" t="s">
        <v>840</v>
      </c>
      <c r="AG292" s="1"/>
    </row>
    <row r="293" spans="26:33" ht="12.75">
      <c r="Z293" s="98" t="s">
        <v>465</v>
      </c>
      <c r="AA293" s="1">
        <v>1000</v>
      </c>
      <c r="AB293" s="1">
        <v>0</v>
      </c>
      <c r="AC293" s="1">
        <v>0</v>
      </c>
      <c r="AD293" s="1">
        <v>5</v>
      </c>
      <c r="AE293" s="1" t="s">
        <v>812</v>
      </c>
      <c r="AF293" s="1" t="s">
        <v>841</v>
      </c>
      <c r="AG293" s="1"/>
    </row>
    <row r="294" spans="26:33" ht="12.75">
      <c r="Z294" s="98" t="s">
        <v>466</v>
      </c>
      <c r="AA294" s="1">
        <v>2000</v>
      </c>
      <c r="AB294" s="1">
        <v>0</v>
      </c>
      <c r="AC294" s="1">
        <v>0</v>
      </c>
      <c r="AD294" s="1">
        <v>5</v>
      </c>
      <c r="AE294" s="1" t="s">
        <v>815</v>
      </c>
      <c r="AF294" s="1" t="s">
        <v>842</v>
      </c>
      <c r="AG294" s="1"/>
    </row>
    <row r="295" spans="26:33" ht="12.75">
      <c r="Z295" s="98" t="s">
        <v>467</v>
      </c>
      <c r="AA295" s="1">
        <v>2000</v>
      </c>
      <c r="AB295" s="1">
        <v>0</v>
      </c>
      <c r="AC295" s="1">
        <v>0</v>
      </c>
      <c r="AD295" s="1">
        <v>5</v>
      </c>
      <c r="AE295" s="1" t="s">
        <v>799</v>
      </c>
      <c r="AF295" s="1" t="s">
        <v>835</v>
      </c>
      <c r="AG295" s="1"/>
    </row>
    <row r="296" spans="26:33" ht="12.75">
      <c r="Z296" s="98" t="s">
        <v>468</v>
      </c>
      <c r="AA296" s="1">
        <v>4000</v>
      </c>
      <c r="AB296" s="1">
        <v>0</v>
      </c>
      <c r="AC296" s="1">
        <v>0</v>
      </c>
      <c r="AD296" s="1">
        <v>5</v>
      </c>
      <c r="AE296" s="1" t="s">
        <v>843</v>
      </c>
      <c r="AF296" s="1" t="s">
        <v>846</v>
      </c>
      <c r="AG296" s="1"/>
    </row>
    <row r="297" spans="26:33" ht="12.75">
      <c r="Z297" s="98" t="s">
        <v>469</v>
      </c>
      <c r="AA297" s="1">
        <v>6000</v>
      </c>
      <c r="AB297" s="1">
        <v>0</v>
      </c>
      <c r="AC297" s="1">
        <v>0</v>
      </c>
      <c r="AD297" s="1">
        <v>5</v>
      </c>
      <c r="AE297" s="1" t="s">
        <v>844</v>
      </c>
      <c r="AF297" s="1" t="s">
        <v>845</v>
      </c>
      <c r="AG297" s="1"/>
    </row>
    <row r="298" spans="26:33" ht="12.75">
      <c r="Z298" s="98" t="s">
        <v>470</v>
      </c>
      <c r="AA298" s="1">
        <v>3000</v>
      </c>
      <c r="AB298" s="1">
        <v>0</v>
      </c>
      <c r="AC298" s="1">
        <v>0</v>
      </c>
      <c r="AD298" s="1">
        <v>5</v>
      </c>
      <c r="AE298" s="1" t="s">
        <v>843</v>
      </c>
      <c r="AF298" s="1" t="s">
        <v>846</v>
      </c>
      <c r="AG298" s="1"/>
    </row>
    <row r="299" spans="26:33" ht="12.75">
      <c r="Z299" s="98" t="s">
        <v>471</v>
      </c>
      <c r="AA299" s="1">
        <v>5000</v>
      </c>
      <c r="AB299" s="1">
        <v>0</v>
      </c>
      <c r="AC299" s="1">
        <v>0</v>
      </c>
      <c r="AD299" s="1">
        <v>5</v>
      </c>
      <c r="AE299" s="1" t="s">
        <v>847</v>
      </c>
      <c r="AF299" s="1"/>
      <c r="AG299" s="1"/>
    </row>
    <row r="300" spans="26:33" ht="12.75">
      <c r="Z300" s="98" t="s">
        <v>472</v>
      </c>
      <c r="AA300" s="1">
        <v>7000</v>
      </c>
      <c r="AB300" s="1">
        <v>0</v>
      </c>
      <c r="AC300" s="1">
        <v>0</v>
      </c>
      <c r="AD300" s="1">
        <v>5</v>
      </c>
      <c r="AE300" s="1" t="s">
        <v>848</v>
      </c>
      <c r="AF300" s="1" t="s">
        <v>835</v>
      </c>
      <c r="AG300" s="1"/>
    </row>
    <row r="301" spans="26:33" ht="12.75">
      <c r="Z301" s="98" t="s">
        <v>473</v>
      </c>
      <c r="AA301" s="1">
        <v>2000</v>
      </c>
      <c r="AB301" s="1">
        <v>0</v>
      </c>
      <c r="AC301" s="1">
        <v>0</v>
      </c>
      <c r="AD301" s="1">
        <v>10</v>
      </c>
      <c r="AE301" s="1" t="s">
        <v>849</v>
      </c>
      <c r="AF301" s="1"/>
      <c r="AG301" s="1"/>
    </row>
    <row r="302" spans="26:33" ht="12.75">
      <c r="Z302" s="98" t="s">
        <v>474</v>
      </c>
      <c r="AA302" s="1">
        <v>2500</v>
      </c>
      <c r="AB302" s="1">
        <v>-10</v>
      </c>
      <c r="AC302" s="1">
        <v>0</v>
      </c>
      <c r="AD302" s="1">
        <v>10</v>
      </c>
      <c r="AE302" s="1" t="s">
        <v>850</v>
      </c>
      <c r="AF302" s="1" t="s">
        <v>830</v>
      </c>
      <c r="AG302" s="1"/>
    </row>
    <row r="303" spans="26:33" ht="12.75">
      <c r="Z303" s="98" t="s">
        <v>475</v>
      </c>
      <c r="AA303" s="1">
        <v>3000</v>
      </c>
      <c r="AB303" s="1">
        <v>0</v>
      </c>
      <c r="AC303" s="1">
        <v>0</v>
      </c>
      <c r="AD303" s="1">
        <v>10</v>
      </c>
      <c r="AE303" s="1" t="s">
        <v>851</v>
      </c>
      <c r="AF303" s="1" t="s">
        <v>835</v>
      </c>
      <c r="AG303" s="1"/>
    </row>
    <row r="304" spans="26:33" ht="12.75">
      <c r="Z304" s="98" t="s">
        <v>476</v>
      </c>
      <c r="AA304" s="1">
        <v>5000</v>
      </c>
      <c r="AB304" s="1">
        <v>-20</v>
      </c>
      <c r="AC304" s="1">
        <v>-20</v>
      </c>
      <c r="AD304" s="1">
        <v>5</v>
      </c>
      <c r="AE304" s="1" t="s">
        <v>852</v>
      </c>
      <c r="AF304" s="1" t="s">
        <v>830</v>
      </c>
      <c r="AG304" s="1"/>
    </row>
    <row r="305" spans="26:33" ht="12.75">
      <c r="Z305" s="98" t="s">
        <v>477</v>
      </c>
      <c r="AA305" s="1">
        <v>2000</v>
      </c>
      <c r="AB305" s="1">
        <v>0</v>
      </c>
      <c r="AC305" s="1">
        <v>-10</v>
      </c>
      <c r="AD305" s="1">
        <v>10</v>
      </c>
      <c r="AE305" s="1" t="s">
        <v>853</v>
      </c>
      <c r="AF305" s="1"/>
      <c r="AG305" s="1"/>
    </row>
    <row r="306" spans="26:33" ht="12.75">
      <c r="Z306" s="98" t="s">
        <v>478</v>
      </c>
      <c r="AA306" s="1">
        <v>3000</v>
      </c>
      <c r="AB306" s="1">
        <v>-10</v>
      </c>
      <c r="AC306" s="1">
        <v>-10</v>
      </c>
      <c r="AD306" s="1">
        <v>10</v>
      </c>
      <c r="AE306" s="1" t="s">
        <v>815</v>
      </c>
      <c r="AF306" s="1"/>
      <c r="AG306" s="1"/>
    </row>
    <row r="307" spans="26:33" ht="12.75">
      <c r="Z307" s="98" t="s">
        <v>1140</v>
      </c>
      <c r="AA307" s="1">
        <v>5000</v>
      </c>
      <c r="AB307" s="1" t="s">
        <v>285</v>
      </c>
      <c r="AC307" s="1" t="s">
        <v>285</v>
      </c>
      <c r="AD307" s="1">
        <v>5</v>
      </c>
      <c r="AE307" s="1" t="s">
        <v>854</v>
      </c>
      <c r="AF307" s="1" t="s">
        <v>855</v>
      </c>
      <c r="AG307" s="1"/>
    </row>
    <row r="308" spans="26:33" ht="12.75">
      <c r="Z308" s="98" t="s">
        <v>479</v>
      </c>
      <c r="AA308" s="1">
        <v>2000</v>
      </c>
      <c r="AB308" s="1" t="s">
        <v>285</v>
      </c>
      <c r="AC308" s="1" t="s">
        <v>285</v>
      </c>
      <c r="AD308" s="1">
        <v>20</v>
      </c>
      <c r="AE308" s="1" t="s">
        <v>856</v>
      </c>
      <c r="AF308" s="1"/>
      <c r="AG308" s="1"/>
    </row>
    <row r="309" spans="26:33" ht="12.75">
      <c r="Z309" s="98" t="s">
        <v>480</v>
      </c>
      <c r="AA309" s="1">
        <v>2000</v>
      </c>
      <c r="AB309" s="1" t="s">
        <v>285</v>
      </c>
      <c r="AC309" s="1" t="s">
        <v>285</v>
      </c>
      <c r="AD309" s="1">
        <v>20</v>
      </c>
      <c r="AE309" s="1" t="s">
        <v>856</v>
      </c>
      <c r="AF309" s="1"/>
      <c r="AG309" s="1"/>
    </row>
    <row r="310" spans="26:33" ht="12.75">
      <c r="Z310" s="97" t="s">
        <v>1139</v>
      </c>
      <c r="AA310" s="1"/>
      <c r="AB310" s="1"/>
      <c r="AC310" s="1"/>
      <c r="AD310" s="1"/>
      <c r="AE310" s="1"/>
      <c r="AF310" s="1"/>
      <c r="AG310" s="1"/>
    </row>
    <row r="311" spans="26:33" ht="12.75">
      <c r="Z311" s="98" t="s">
        <v>917</v>
      </c>
      <c r="AA311" s="1"/>
      <c r="AB311" s="1"/>
      <c r="AC311" s="1"/>
      <c r="AD311" s="1"/>
      <c r="AE311" s="1"/>
      <c r="AF311" s="1"/>
      <c r="AG311" s="1"/>
    </row>
    <row r="312" spans="26:33" ht="12.75">
      <c r="Z312" s="98" t="s">
        <v>918</v>
      </c>
      <c r="AA312" s="1"/>
      <c r="AB312" s="1"/>
      <c r="AC312" s="1"/>
      <c r="AD312" s="1"/>
      <c r="AE312" s="1"/>
      <c r="AF312" s="1"/>
      <c r="AG312" s="1"/>
    </row>
    <row r="313" spans="26:33" ht="12.75">
      <c r="Z313" s="98" t="s">
        <v>919</v>
      </c>
      <c r="AA313" s="1"/>
      <c r="AB313" s="1"/>
      <c r="AC313" s="1"/>
      <c r="AD313" s="1"/>
      <c r="AE313" s="1"/>
      <c r="AF313" s="1"/>
      <c r="AG313" s="1"/>
    </row>
    <row r="314" spans="26:33" ht="12.75">
      <c r="Z314" s="98" t="s">
        <v>920</v>
      </c>
      <c r="AA314" s="1"/>
      <c r="AB314" s="1"/>
      <c r="AC314" s="1"/>
      <c r="AD314" s="1"/>
      <c r="AE314" s="1"/>
      <c r="AF314" s="1"/>
      <c r="AG314" s="1"/>
    </row>
    <row r="315" spans="26:33" ht="12.75">
      <c r="Z315" s="98" t="s">
        <v>1142</v>
      </c>
      <c r="AA315" s="1"/>
      <c r="AB315" s="1"/>
      <c r="AC315" s="1"/>
      <c r="AD315" s="1"/>
      <c r="AE315" s="1"/>
      <c r="AF315" s="1"/>
      <c r="AG315" s="1"/>
    </row>
    <row r="316" spans="26:33" ht="12.75">
      <c r="Z316" s="97" t="s">
        <v>1138</v>
      </c>
      <c r="AA316" s="1"/>
      <c r="AB316" s="1"/>
      <c r="AC316" s="1"/>
      <c r="AD316" s="1"/>
      <c r="AE316" s="1"/>
      <c r="AF316" s="1"/>
      <c r="AG316" s="1"/>
    </row>
    <row r="317" spans="26:33" ht="12.75">
      <c r="Z317" s="98" t="s">
        <v>921</v>
      </c>
      <c r="AA317" s="1"/>
      <c r="AB317" s="1"/>
      <c r="AC317" s="1"/>
      <c r="AD317" s="1"/>
      <c r="AE317" s="1" t="s">
        <v>925</v>
      </c>
      <c r="AF317" s="1"/>
      <c r="AG317" s="1"/>
    </row>
    <row r="318" spans="26:33" ht="12.75">
      <c r="Z318" s="98" t="s">
        <v>922</v>
      </c>
      <c r="AA318" s="1"/>
      <c r="AB318" s="1"/>
      <c r="AC318" s="1"/>
      <c r="AD318" s="1"/>
      <c r="AE318" s="1" t="s">
        <v>926</v>
      </c>
      <c r="AF318" s="1"/>
      <c r="AG318" s="1"/>
    </row>
    <row r="319" spans="26:33" ht="12.75">
      <c r="Z319" s="98" t="s">
        <v>923</v>
      </c>
      <c r="AA319" s="1"/>
      <c r="AB319" s="1"/>
      <c r="AC319" s="1"/>
      <c r="AD319" s="1"/>
      <c r="AE319" s="1" t="s">
        <v>927</v>
      </c>
      <c r="AF319" s="1"/>
      <c r="AG319" s="1"/>
    </row>
    <row r="320" spans="26:33" ht="12.75">
      <c r="Z320" s="98" t="s">
        <v>924</v>
      </c>
      <c r="AA320" s="1"/>
      <c r="AB320" s="1"/>
      <c r="AC320" s="1"/>
      <c r="AD320" s="1"/>
      <c r="AE320" s="1" t="s">
        <v>928</v>
      </c>
      <c r="AF320" s="1"/>
      <c r="AG320" s="1"/>
    </row>
    <row r="321" spans="26:33" ht="12.75">
      <c r="Z321" s="98" t="s">
        <v>1143</v>
      </c>
      <c r="AG321" s="1"/>
    </row>
    <row r="322" spans="26:33" ht="12.75">
      <c r="Z322" s="78">
        <f>IF(Разное!AL70="","",Разное!AL70)</f>
      </c>
      <c r="AA322" s="1"/>
      <c r="AB322" s="1">
        <f>Разное!AV70</f>
        <v>0</v>
      </c>
      <c r="AC322" s="1">
        <f>Разное!AZ70</f>
        <v>0</v>
      </c>
      <c r="AD322" s="1"/>
      <c r="AE322" s="88">
        <f>Разное!AK73</f>
        <v>0</v>
      </c>
      <c r="AF322" s="88">
        <f>Разное!AS73</f>
        <v>0</v>
      </c>
      <c r="AG322" s="1"/>
    </row>
    <row r="323" spans="26:33" ht="12.75">
      <c r="Z323" s="78">
        <f>IF(Разное!AL77="","",Разное!AL77)</f>
      </c>
      <c r="AA323" s="1"/>
      <c r="AB323" s="1">
        <f>Разное!AV77</f>
        <v>0</v>
      </c>
      <c r="AC323" s="1">
        <f>Разное!AZ77</f>
        <v>0</v>
      </c>
      <c r="AD323" s="1"/>
      <c r="AE323" s="88">
        <f>Разное!AK80</f>
        <v>0</v>
      </c>
      <c r="AF323" s="88">
        <f>Разное!AS80</f>
        <v>0</v>
      </c>
      <c r="AG323" s="1"/>
    </row>
    <row r="324" spans="27:33" ht="12.75">
      <c r="AA324" s="1"/>
      <c r="AB324" s="1"/>
      <c r="AC324" s="1"/>
      <c r="AD324" s="1"/>
      <c r="AE324" s="1"/>
      <c r="AF324" s="1"/>
      <c r="AG324" s="1"/>
    </row>
    <row r="325" spans="27:33" ht="12.75">
      <c r="AA325" s="1"/>
      <c r="AB325" s="1"/>
      <c r="AC325" s="1"/>
      <c r="AD325" s="1"/>
      <c r="AE325" s="1"/>
      <c r="AF325" s="1"/>
      <c r="AG325" s="1"/>
    </row>
    <row r="326" spans="27:30" ht="12.75">
      <c r="AA326" s="1"/>
      <c r="AB326" s="1"/>
      <c r="AC326" s="1"/>
      <c r="AD326" s="1"/>
    </row>
    <row r="327" spans="27:30" ht="12.75">
      <c r="AA327" s="1"/>
      <c r="AB327" s="1"/>
      <c r="AC327" s="1"/>
      <c r="AD327" s="1"/>
    </row>
    <row r="328" spans="27:33" ht="12.75">
      <c r="AA328" s="1"/>
      <c r="AB328" s="1"/>
      <c r="AC328" s="1"/>
      <c r="AD328" s="1"/>
      <c r="AE328" s="1"/>
      <c r="AF328" s="1"/>
      <c r="AG328" s="1"/>
    </row>
    <row r="329" spans="27:33" ht="12.75">
      <c r="AA329" s="1"/>
      <c r="AB329" s="1"/>
      <c r="AC329" s="1"/>
      <c r="AD329" s="1"/>
      <c r="AE329" s="1"/>
      <c r="AF329" s="1"/>
      <c r="AG329" s="1"/>
    </row>
    <row r="330" spans="26:33" ht="15.75">
      <c r="Z330" s="100" t="s">
        <v>481</v>
      </c>
      <c r="AA330" s="1"/>
      <c r="AB330" s="1"/>
      <c r="AC330" s="1"/>
      <c r="AD330" s="1"/>
      <c r="AE330" s="1"/>
      <c r="AF330" s="1"/>
      <c r="AG330" s="1"/>
    </row>
    <row r="331" spans="27:43" ht="12.75">
      <c r="AA331" s="1" t="s">
        <v>859</v>
      </c>
      <c r="AB331" s="1" t="s">
        <v>860</v>
      </c>
      <c r="AC331" s="1" t="s">
        <v>174</v>
      </c>
      <c r="AD331" s="1" t="s">
        <v>335</v>
      </c>
      <c r="AE331" s="1" t="s">
        <v>275</v>
      </c>
      <c r="AF331" s="1" t="s">
        <v>861</v>
      </c>
      <c r="AG331" s="1" t="s">
        <v>275</v>
      </c>
      <c r="AH331" s="1" t="s">
        <v>337</v>
      </c>
      <c r="AI331" s="1" t="s">
        <v>275</v>
      </c>
      <c r="AJ331" s="1" t="s">
        <v>336</v>
      </c>
      <c r="AK331" s="1" t="s">
        <v>275</v>
      </c>
      <c r="AL331" s="1" t="s">
        <v>332</v>
      </c>
      <c r="AM331" s="1" t="s">
        <v>275</v>
      </c>
      <c r="AN331" s="1"/>
      <c r="AQ331" s="78" t="s">
        <v>957</v>
      </c>
    </row>
    <row r="332" spans="25:61" ht="12.75">
      <c r="Y332" s="78">
        <v>1</v>
      </c>
      <c r="Z332" s="78" t="s">
        <v>151</v>
      </c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Q332" s="78" t="s">
        <v>933</v>
      </c>
      <c r="AT332" s="78" t="s">
        <v>934</v>
      </c>
      <c r="AW332" s="78" t="s">
        <v>935</v>
      </c>
      <c r="AZ332" s="78" t="s">
        <v>936</v>
      </c>
      <c r="BC332" s="78" t="s">
        <v>937</v>
      </c>
      <c r="BF332" s="78" t="s">
        <v>938</v>
      </c>
      <c r="BI332" s="78" t="s">
        <v>939</v>
      </c>
    </row>
    <row r="333" spans="25:62" ht="12.75">
      <c r="Y333" s="78">
        <v>1</v>
      </c>
      <c r="Z333" s="78" t="s">
        <v>482</v>
      </c>
      <c r="AA333" s="101" t="s">
        <v>862</v>
      </c>
      <c r="AB333" s="101" t="s">
        <v>863</v>
      </c>
      <c r="AC333" s="101" t="s">
        <v>864</v>
      </c>
      <c r="AD333" s="101" t="s">
        <v>865</v>
      </c>
      <c r="AE333" s="82">
        <v>0.2</v>
      </c>
      <c r="AF333" s="101" t="s">
        <v>865</v>
      </c>
      <c r="AG333" s="82">
        <v>0.25</v>
      </c>
      <c r="AH333" s="101" t="s">
        <v>865</v>
      </c>
      <c r="AI333" s="82">
        <v>0.1</v>
      </c>
      <c r="AJ333" s="101">
        <v>0</v>
      </c>
      <c r="AK333" s="82">
        <v>0.1</v>
      </c>
      <c r="AL333" s="101">
        <v>0</v>
      </c>
      <c r="AM333" s="82">
        <v>0.1</v>
      </c>
      <c r="AN333" s="1"/>
      <c r="AR333" s="1">
        <f>SUM(AR334:AR343)</f>
        <v>0</v>
      </c>
      <c r="AU333" s="1">
        <f>SUM(AU334:AU343)</f>
        <v>0</v>
      </c>
      <c r="AX333" s="1">
        <f>SUM(AX334:AX343)</f>
        <v>0</v>
      </c>
      <c r="BA333" s="1">
        <f>SUM(BA334:BA343)</f>
        <v>0</v>
      </c>
      <c r="BD333" s="1">
        <f>SUM(BD334:BD343)</f>
        <v>0</v>
      </c>
      <c r="BG333" s="1">
        <f>SUM(BG334:BG343)</f>
        <v>0</v>
      </c>
      <c r="BJ333" s="1">
        <f>SUM(BJ334:BJ343)</f>
        <v>0</v>
      </c>
    </row>
    <row r="334" spans="25:62" ht="12.75">
      <c r="Y334" s="78">
        <v>1</v>
      </c>
      <c r="Z334" s="78" t="s">
        <v>483</v>
      </c>
      <c r="AA334" s="101">
        <v>120</v>
      </c>
      <c r="AB334" s="101">
        <v>11</v>
      </c>
      <c r="AC334" s="101">
        <v>6</v>
      </c>
      <c r="AD334" s="101">
        <v>1</v>
      </c>
      <c r="AE334" s="82">
        <v>0.2</v>
      </c>
      <c r="AF334" s="101">
        <v>0</v>
      </c>
      <c r="AG334" s="82">
        <v>0.25</v>
      </c>
      <c r="AH334" s="101">
        <v>0</v>
      </c>
      <c r="AI334" s="82">
        <v>0.1</v>
      </c>
      <c r="AJ334" s="101">
        <v>0</v>
      </c>
      <c r="AK334" s="82">
        <v>0.2</v>
      </c>
      <c r="AL334" s="101">
        <v>0</v>
      </c>
      <c r="AM334" s="82">
        <v>0.2</v>
      </c>
      <c r="AN334" s="1"/>
      <c r="AQ334" s="78" t="b">
        <v>0</v>
      </c>
      <c r="AR334" s="1">
        <f aca="true" t="shared" si="27" ref="AR334:AR343">IF(AQ334=FALSE,0,1)</f>
        <v>0</v>
      </c>
      <c r="AT334" s="78" t="b">
        <v>0</v>
      </c>
      <c r="AU334" s="1">
        <f aca="true" t="shared" si="28" ref="AU334:AU343">IF(AT334=FALSE,0,1)</f>
        <v>0</v>
      </c>
      <c r="AW334" s="78" t="b">
        <v>0</v>
      </c>
      <c r="AX334" s="1">
        <f aca="true" t="shared" si="29" ref="AX334:AX343">IF(AW334=FALSE,0,1)</f>
        <v>0</v>
      </c>
      <c r="AZ334" s="78" t="b">
        <v>0</v>
      </c>
      <c r="BA334" s="1">
        <f aca="true" t="shared" si="30" ref="BA334:BA343">IF(AZ334=FALSE,0,1)</f>
        <v>0</v>
      </c>
      <c r="BC334" s="78" t="b">
        <v>0</v>
      </c>
      <c r="BD334" s="1">
        <f aca="true" t="shared" si="31" ref="BD334:BD343">IF(BC334=FALSE,0,1)</f>
        <v>0</v>
      </c>
      <c r="BF334" s="78" t="b">
        <v>0</v>
      </c>
      <c r="BG334" s="1">
        <f aca="true" t="shared" si="32" ref="BG334:BG343">IF(BF334=FALSE,0,1)</f>
        <v>0</v>
      </c>
      <c r="BI334" s="78" t="b">
        <v>0</v>
      </c>
      <c r="BJ334" s="1">
        <f aca="true" t="shared" si="33" ref="BJ334:BJ343">IF(BI334=FALSE,0,1)</f>
        <v>0</v>
      </c>
    </row>
    <row r="335" spans="25:62" ht="12.75">
      <c r="Y335" s="78">
        <v>1</v>
      </c>
      <c r="Z335" s="78" t="s">
        <v>484</v>
      </c>
      <c r="AA335" s="101">
        <v>250</v>
      </c>
      <c r="AB335" s="101">
        <v>5</v>
      </c>
      <c r="AC335" s="101">
        <v>8</v>
      </c>
      <c r="AD335" s="101">
        <v>0</v>
      </c>
      <c r="AE335" s="82">
        <v>0.2</v>
      </c>
      <c r="AF335" s="101">
        <v>0</v>
      </c>
      <c r="AG335" s="82">
        <v>0.2</v>
      </c>
      <c r="AH335" s="101">
        <v>0</v>
      </c>
      <c r="AI335" s="82">
        <v>0.1</v>
      </c>
      <c r="AJ335" s="101">
        <v>0</v>
      </c>
      <c r="AK335" s="82">
        <v>0.1</v>
      </c>
      <c r="AL335" s="101">
        <v>0</v>
      </c>
      <c r="AM335" s="82">
        <v>0.2</v>
      </c>
      <c r="AN335" s="1"/>
      <c r="AQ335" s="78" t="b">
        <v>0</v>
      </c>
      <c r="AR335" s="1">
        <f t="shared" si="27"/>
        <v>0</v>
      </c>
      <c r="AT335" s="78" t="b">
        <v>0</v>
      </c>
      <c r="AU335" s="1">
        <f t="shared" si="28"/>
        <v>0</v>
      </c>
      <c r="AW335" s="78" t="b">
        <v>0</v>
      </c>
      <c r="AX335" s="1">
        <f t="shared" si="29"/>
        <v>0</v>
      </c>
      <c r="AZ335" s="78" t="b">
        <v>0</v>
      </c>
      <c r="BA335" s="1">
        <f t="shared" si="30"/>
        <v>0</v>
      </c>
      <c r="BC335" s="78" t="b">
        <v>0</v>
      </c>
      <c r="BD335" s="1">
        <f t="shared" si="31"/>
        <v>0</v>
      </c>
      <c r="BF335" s="78" t="b">
        <v>0</v>
      </c>
      <c r="BG335" s="1">
        <f t="shared" si="32"/>
        <v>0</v>
      </c>
      <c r="BI335" s="78" t="b">
        <v>0</v>
      </c>
      <c r="BJ335" s="1">
        <f t="shared" si="33"/>
        <v>0</v>
      </c>
    </row>
    <row r="336" spans="25:62" ht="12.75">
      <c r="Y336" s="78">
        <v>1</v>
      </c>
      <c r="Z336" s="78" t="s">
        <v>485</v>
      </c>
      <c r="AA336" s="101">
        <v>500</v>
      </c>
      <c r="AB336" s="101">
        <v>12</v>
      </c>
      <c r="AC336" s="101">
        <v>8</v>
      </c>
      <c r="AD336" s="101">
        <v>0</v>
      </c>
      <c r="AE336" s="82">
        <v>0.2</v>
      </c>
      <c r="AF336" s="101">
        <v>0</v>
      </c>
      <c r="AG336" s="82">
        <v>0.2</v>
      </c>
      <c r="AH336" s="101">
        <v>0</v>
      </c>
      <c r="AI336" s="82">
        <v>0.1</v>
      </c>
      <c r="AJ336" s="101">
        <v>0</v>
      </c>
      <c r="AK336" s="82">
        <v>0.1</v>
      </c>
      <c r="AL336" s="101">
        <v>0</v>
      </c>
      <c r="AM336" s="82">
        <v>0.2</v>
      </c>
      <c r="AN336" s="1"/>
      <c r="AQ336" s="78" t="b">
        <v>0</v>
      </c>
      <c r="AR336" s="1">
        <f t="shared" si="27"/>
        <v>0</v>
      </c>
      <c r="AT336" s="78" t="b">
        <v>0</v>
      </c>
      <c r="AU336" s="1">
        <f t="shared" si="28"/>
        <v>0</v>
      </c>
      <c r="AW336" s="78" t="b">
        <v>0</v>
      </c>
      <c r="AX336" s="1">
        <f t="shared" si="29"/>
        <v>0</v>
      </c>
      <c r="AZ336" s="78" t="b">
        <v>0</v>
      </c>
      <c r="BA336" s="1">
        <f t="shared" si="30"/>
        <v>0</v>
      </c>
      <c r="BC336" s="78" t="b">
        <v>0</v>
      </c>
      <c r="BD336" s="1">
        <f t="shared" si="31"/>
        <v>0</v>
      </c>
      <c r="BF336" s="78" t="b">
        <v>0</v>
      </c>
      <c r="BG336" s="1">
        <f t="shared" si="32"/>
        <v>0</v>
      </c>
      <c r="BI336" s="78" t="b">
        <v>0</v>
      </c>
      <c r="BJ336" s="1">
        <f t="shared" si="33"/>
        <v>0</v>
      </c>
    </row>
    <row r="337" spans="25:62" ht="12.75">
      <c r="Y337" s="78">
        <v>1</v>
      </c>
      <c r="Z337" s="78" t="s">
        <v>486</v>
      </c>
      <c r="AA337" s="101">
        <v>700</v>
      </c>
      <c r="AB337" s="101">
        <v>8</v>
      </c>
      <c r="AC337" s="101">
        <v>15</v>
      </c>
      <c r="AD337" s="101">
        <v>2</v>
      </c>
      <c r="AE337" s="82">
        <v>0.25</v>
      </c>
      <c r="AF337" s="101">
        <v>0</v>
      </c>
      <c r="AG337" s="82">
        <v>0.2</v>
      </c>
      <c r="AH337" s="101">
        <v>0</v>
      </c>
      <c r="AI337" s="82">
        <v>0.2</v>
      </c>
      <c r="AJ337" s="101">
        <v>0</v>
      </c>
      <c r="AK337" s="82">
        <v>0.1</v>
      </c>
      <c r="AL337" s="101">
        <v>0</v>
      </c>
      <c r="AM337" s="82">
        <v>0.2</v>
      </c>
      <c r="AN337" s="1"/>
      <c r="AQ337" s="78" t="b">
        <v>0</v>
      </c>
      <c r="AR337" s="1">
        <f t="shared" si="27"/>
        <v>0</v>
      </c>
      <c r="AT337" s="78" t="b">
        <v>0</v>
      </c>
      <c r="AU337" s="1">
        <f t="shared" si="28"/>
        <v>0</v>
      </c>
      <c r="AW337" s="78" t="b">
        <v>0</v>
      </c>
      <c r="AX337" s="1">
        <f t="shared" si="29"/>
        <v>0</v>
      </c>
      <c r="AZ337" s="78" t="b">
        <v>0</v>
      </c>
      <c r="BA337" s="1">
        <f t="shared" si="30"/>
        <v>0</v>
      </c>
      <c r="BC337" s="78" t="b">
        <v>0</v>
      </c>
      <c r="BD337" s="1">
        <f t="shared" si="31"/>
        <v>0</v>
      </c>
      <c r="BF337" s="78" t="b">
        <v>0</v>
      </c>
      <c r="BG337" s="1">
        <f t="shared" si="32"/>
        <v>0</v>
      </c>
      <c r="BI337" s="78" t="b">
        <v>0</v>
      </c>
      <c r="BJ337" s="1">
        <f t="shared" si="33"/>
        <v>0</v>
      </c>
    </row>
    <row r="338" spans="25:62" ht="12.75">
      <c r="Y338" s="78">
        <v>1</v>
      </c>
      <c r="Z338" s="78" t="s">
        <v>487</v>
      </c>
      <c r="AA338" s="101">
        <v>700</v>
      </c>
      <c r="AB338" s="101">
        <v>10</v>
      </c>
      <c r="AC338" s="101">
        <v>8</v>
      </c>
      <c r="AD338" s="101">
        <v>2</v>
      </c>
      <c r="AE338" s="82">
        <v>0.25</v>
      </c>
      <c r="AF338" s="101">
        <v>0</v>
      </c>
      <c r="AG338" s="82">
        <v>0.25</v>
      </c>
      <c r="AH338" s="101">
        <v>0</v>
      </c>
      <c r="AI338" s="82">
        <v>0.15</v>
      </c>
      <c r="AJ338" s="101">
        <v>0</v>
      </c>
      <c r="AK338" s="82">
        <v>0.25</v>
      </c>
      <c r="AL338" s="101">
        <v>0</v>
      </c>
      <c r="AM338" s="82">
        <v>0.2</v>
      </c>
      <c r="AN338" s="1"/>
      <c r="AQ338" s="78" t="b">
        <v>0</v>
      </c>
      <c r="AR338" s="1">
        <f t="shared" si="27"/>
        <v>0</v>
      </c>
      <c r="AT338" s="78" t="b">
        <v>0</v>
      </c>
      <c r="AU338" s="1">
        <f t="shared" si="28"/>
        <v>0</v>
      </c>
      <c r="AW338" s="78" t="b">
        <v>0</v>
      </c>
      <c r="AX338" s="1">
        <f t="shared" si="29"/>
        <v>0</v>
      </c>
      <c r="AZ338" s="78" t="b">
        <v>0</v>
      </c>
      <c r="BA338" s="1">
        <f t="shared" si="30"/>
        <v>0</v>
      </c>
      <c r="BC338" s="78" t="b">
        <v>0</v>
      </c>
      <c r="BD338" s="1">
        <f t="shared" si="31"/>
        <v>0</v>
      </c>
      <c r="BF338" s="78" t="b">
        <v>0</v>
      </c>
      <c r="BG338" s="1">
        <f t="shared" si="32"/>
        <v>0</v>
      </c>
      <c r="BI338" s="78" t="b">
        <v>0</v>
      </c>
      <c r="BJ338" s="1">
        <f t="shared" si="33"/>
        <v>0</v>
      </c>
    </row>
    <row r="339" spans="26:62" ht="12.75">
      <c r="Z339" s="78" t="s">
        <v>488</v>
      </c>
      <c r="AA339" s="101">
        <v>800</v>
      </c>
      <c r="AB339" s="101">
        <v>10</v>
      </c>
      <c r="AC339" s="101">
        <v>10</v>
      </c>
      <c r="AD339" s="101">
        <v>3</v>
      </c>
      <c r="AE339" s="82">
        <v>0.3</v>
      </c>
      <c r="AF339" s="101">
        <v>0</v>
      </c>
      <c r="AG339" s="82">
        <v>0.2</v>
      </c>
      <c r="AH339" s="101">
        <v>0</v>
      </c>
      <c r="AI339" s="82">
        <v>0.15</v>
      </c>
      <c r="AJ339" s="101">
        <v>0</v>
      </c>
      <c r="AK339" s="82">
        <v>0.1</v>
      </c>
      <c r="AL339" s="101">
        <v>0</v>
      </c>
      <c r="AM339" s="82">
        <v>0.2</v>
      </c>
      <c r="AN339" s="1"/>
      <c r="AQ339" s="78" t="b">
        <v>0</v>
      </c>
      <c r="AR339" s="1">
        <f t="shared" si="27"/>
        <v>0</v>
      </c>
      <c r="AT339" s="78" t="b">
        <v>0</v>
      </c>
      <c r="AU339" s="1">
        <f t="shared" si="28"/>
        <v>0</v>
      </c>
      <c r="AW339" s="78" t="b">
        <v>0</v>
      </c>
      <c r="AX339" s="1">
        <f t="shared" si="29"/>
        <v>0</v>
      </c>
      <c r="AZ339" s="78" t="b">
        <v>0</v>
      </c>
      <c r="BA339" s="1">
        <f t="shared" si="30"/>
        <v>0</v>
      </c>
      <c r="BC339" s="78" t="b">
        <v>0</v>
      </c>
      <c r="BD339" s="1">
        <f t="shared" si="31"/>
        <v>0</v>
      </c>
      <c r="BF339" s="78" t="b">
        <v>0</v>
      </c>
      <c r="BG339" s="1">
        <f t="shared" si="32"/>
        <v>0</v>
      </c>
      <c r="BI339" s="78" t="b">
        <v>0</v>
      </c>
      <c r="BJ339" s="1">
        <f t="shared" si="33"/>
        <v>0</v>
      </c>
    </row>
    <row r="340" spans="26:62" ht="12.75">
      <c r="Z340" s="78" t="s">
        <v>489</v>
      </c>
      <c r="AA340" s="101">
        <v>800</v>
      </c>
      <c r="AB340" s="101">
        <v>25</v>
      </c>
      <c r="AC340" s="101">
        <v>15</v>
      </c>
      <c r="AD340" s="101">
        <v>3</v>
      </c>
      <c r="AE340" s="82">
        <v>0.25</v>
      </c>
      <c r="AF340" s="101">
        <v>1</v>
      </c>
      <c r="AG340" s="82">
        <v>0.3</v>
      </c>
      <c r="AH340" s="101">
        <v>1</v>
      </c>
      <c r="AI340" s="82">
        <v>0.17</v>
      </c>
      <c r="AJ340" s="101">
        <v>1</v>
      </c>
      <c r="AK340" s="82">
        <v>0.3</v>
      </c>
      <c r="AL340" s="101">
        <v>1</v>
      </c>
      <c r="AM340" s="82">
        <v>0.25</v>
      </c>
      <c r="AN340" s="1"/>
      <c r="AQ340" s="78" t="b">
        <v>0</v>
      </c>
      <c r="AR340" s="1">
        <f t="shared" si="27"/>
        <v>0</v>
      </c>
      <c r="AT340" s="78" t="b">
        <v>0</v>
      </c>
      <c r="AU340" s="1">
        <f t="shared" si="28"/>
        <v>0</v>
      </c>
      <c r="AW340" s="78" t="b">
        <v>0</v>
      </c>
      <c r="AX340" s="1">
        <f t="shared" si="29"/>
        <v>0</v>
      </c>
      <c r="AZ340" s="78" t="b">
        <v>0</v>
      </c>
      <c r="BA340" s="1">
        <f t="shared" si="30"/>
        <v>0</v>
      </c>
      <c r="BC340" s="78" t="b">
        <v>0</v>
      </c>
      <c r="BD340" s="1">
        <f t="shared" si="31"/>
        <v>0</v>
      </c>
      <c r="BF340" s="78" t="b">
        <v>0</v>
      </c>
      <c r="BG340" s="1">
        <f t="shared" si="32"/>
        <v>0</v>
      </c>
      <c r="BI340" s="78" t="b">
        <v>0</v>
      </c>
      <c r="BJ340" s="1">
        <f t="shared" si="33"/>
        <v>0</v>
      </c>
    </row>
    <row r="341" spans="26:62" ht="12.75">
      <c r="Z341" s="78" t="s">
        <v>490</v>
      </c>
      <c r="AA341" s="101">
        <v>900</v>
      </c>
      <c r="AB341" s="101">
        <v>10</v>
      </c>
      <c r="AC341" s="101">
        <v>15</v>
      </c>
      <c r="AD341" s="101">
        <v>2</v>
      </c>
      <c r="AE341" s="82">
        <v>0.25</v>
      </c>
      <c r="AF341" s="101">
        <v>0</v>
      </c>
      <c r="AG341" s="82">
        <v>0.25</v>
      </c>
      <c r="AH341" s="101">
        <v>0</v>
      </c>
      <c r="AI341" s="82">
        <v>0.15</v>
      </c>
      <c r="AJ341" s="101">
        <v>0</v>
      </c>
      <c r="AK341" s="82">
        <v>0.25</v>
      </c>
      <c r="AL341" s="101">
        <v>0</v>
      </c>
      <c r="AM341" s="82">
        <v>0.2</v>
      </c>
      <c r="AN341" s="1"/>
      <c r="AQ341" s="78" t="b">
        <v>0</v>
      </c>
      <c r="AR341" s="1">
        <f t="shared" si="27"/>
        <v>0</v>
      </c>
      <c r="AT341" s="78" t="b">
        <v>0</v>
      </c>
      <c r="AU341" s="1">
        <f t="shared" si="28"/>
        <v>0</v>
      </c>
      <c r="AW341" s="78" t="b">
        <v>0</v>
      </c>
      <c r="AX341" s="1">
        <f t="shared" si="29"/>
        <v>0</v>
      </c>
      <c r="AZ341" s="78" t="b">
        <v>0</v>
      </c>
      <c r="BA341" s="1">
        <f t="shared" si="30"/>
        <v>0</v>
      </c>
      <c r="BC341" s="78" t="b">
        <v>0</v>
      </c>
      <c r="BD341" s="1">
        <f t="shared" si="31"/>
        <v>0</v>
      </c>
      <c r="BF341" s="78" t="b">
        <v>0</v>
      </c>
      <c r="BG341" s="1">
        <f t="shared" si="32"/>
        <v>0</v>
      </c>
      <c r="BI341" s="78" t="b">
        <v>0</v>
      </c>
      <c r="BJ341" s="1">
        <f t="shared" si="33"/>
        <v>0</v>
      </c>
    </row>
    <row r="342" spans="26:62" ht="12.75">
      <c r="Z342" s="78" t="s">
        <v>491</v>
      </c>
      <c r="AA342" s="101">
        <v>1000</v>
      </c>
      <c r="AB342" s="101">
        <v>7</v>
      </c>
      <c r="AC342" s="101">
        <v>20</v>
      </c>
      <c r="AD342" s="101">
        <v>2</v>
      </c>
      <c r="AE342" s="82">
        <v>0.3</v>
      </c>
      <c r="AF342" s="101">
        <v>0</v>
      </c>
      <c r="AG342" s="82">
        <v>0.2</v>
      </c>
      <c r="AH342" s="101">
        <v>2</v>
      </c>
      <c r="AI342" s="82">
        <v>0.25</v>
      </c>
      <c r="AJ342" s="101">
        <v>0</v>
      </c>
      <c r="AK342" s="82">
        <v>0.1</v>
      </c>
      <c r="AL342" s="101">
        <v>0</v>
      </c>
      <c r="AM342" s="82">
        <v>0.2</v>
      </c>
      <c r="AN342" s="1"/>
      <c r="AQ342" s="78" t="b">
        <v>0</v>
      </c>
      <c r="AR342" s="1">
        <f t="shared" si="27"/>
        <v>0</v>
      </c>
      <c r="AT342" s="78" t="b">
        <v>0</v>
      </c>
      <c r="AU342" s="1">
        <f t="shared" si="28"/>
        <v>0</v>
      </c>
      <c r="AW342" s="78" t="b">
        <v>0</v>
      </c>
      <c r="AX342" s="1">
        <f t="shared" si="29"/>
        <v>0</v>
      </c>
      <c r="AZ342" s="78" t="b">
        <v>0</v>
      </c>
      <c r="BA342" s="1">
        <f t="shared" si="30"/>
        <v>0</v>
      </c>
      <c r="BC342" s="78" t="b">
        <v>0</v>
      </c>
      <c r="BD342" s="1">
        <f t="shared" si="31"/>
        <v>0</v>
      </c>
      <c r="BF342" s="78" t="b">
        <v>0</v>
      </c>
      <c r="BG342" s="1">
        <f t="shared" si="32"/>
        <v>0</v>
      </c>
      <c r="BI342" s="78" t="b">
        <v>0</v>
      </c>
      <c r="BJ342" s="1">
        <f t="shared" si="33"/>
        <v>0</v>
      </c>
    </row>
    <row r="343" spans="26:62" ht="12.75">
      <c r="Z343" s="78" t="s">
        <v>492</v>
      </c>
      <c r="AA343" s="101">
        <v>1000</v>
      </c>
      <c r="AB343" s="101">
        <v>10</v>
      </c>
      <c r="AC343" s="101">
        <v>20</v>
      </c>
      <c r="AD343" s="101">
        <v>3</v>
      </c>
      <c r="AE343" s="82">
        <v>0.25</v>
      </c>
      <c r="AF343" s="101">
        <v>1</v>
      </c>
      <c r="AG343" s="82">
        <v>0.3</v>
      </c>
      <c r="AH343" s="101">
        <v>1</v>
      </c>
      <c r="AI343" s="82">
        <v>0.17</v>
      </c>
      <c r="AJ343" s="101">
        <v>1</v>
      </c>
      <c r="AK343" s="82">
        <v>0.3</v>
      </c>
      <c r="AL343" s="101">
        <v>1</v>
      </c>
      <c r="AM343" s="82">
        <v>0.25</v>
      </c>
      <c r="AN343" s="1"/>
      <c r="AQ343" s="78" t="b">
        <v>0</v>
      </c>
      <c r="AR343" s="1">
        <f t="shared" si="27"/>
        <v>0</v>
      </c>
      <c r="AT343" s="78" t="b">
        <v>0</v>
      </c>
      <c r="AU343" s="1">
        <f t="shared" si="28"/>
        <v>0</v>
      </c>
      <c r="AW343" s="78" t="b">
        <v>0</v>
      </c>
      <c r="AX343" s="1">
        <f t="shared" si="29"/>
        <v>0</v>
      </c>
      <c r="AZ343" s="78" t="b">
        <v>0</v>
      </c>
      <c r="BA343" s="1">
        <f t="shared" si="30"/>
        <v>0</v>
      </c>
      <c r="BC343" s="78" t="b">
        <v>0</v>
      </c>
      <c r="BD343" s="1">
        <f t="shared" si="31"/>
        <v>0</v>
      </c>
      <c r="BF343" s="78" t="b">
        <v>0</v>
      </c>
      <c r="BG343" s="1">
        <f t="shared" si="32"/>
        <v>0</v>
      </c>
      <c r="BI343" s="78" t="b">
        <v>0</v>
      </c>
      <c r="BJ343" s="1">
        <f t="shared" si="33"/>
        <v>0</v>
      </c>
    </row>
    <row r="344" spans="26:62" ht="12.75">
      <c r="Z344" s="78" t="s">
        <v>493</v>
      </c>
      <c r="AA344" s="101">
        <v>1100</v>
      </c>
      <c r="AB344" s="101">
        <v>10</v>
      </c>
      <c r="AC344" s="101">
        <v>20</v>
      </c>
      <c r="AD344" s="101">
        <v>3</v>
      </c>
      <c r="AE344" s="82">
        <v>0.25</v>
      </c>
      <c r="AF344" s="101">
        <v>1</v>
      </c>
      <c r="AG344" s="82">
        <v>0.3</v>
      </c>
      <c r="AH344" s="101">
        <v>1</v>
      </c>
      <c r="AI344" s="82">
        <v>0.17</v>
      </c>
      <c r="AJ344" s="101">
        <v>1</v>
      </c>
      <c r="AK344" s="82">
        <v>0.3</v>
      </c>
      <c r="AL344" s="101">
        <v>1</v>
      </c>
      <c r="AM344" s="82">
        <v>0.25</v>
      </c>
      <c r="AN344" s="1"/>
      <c r="AR344" s="1">
        <f>IF(AR333&lt;4,0,IF(AR333=4,5,(AR333-4)*10))</f>
        <v>0</v>
      </c>
      <c r="AU344" s="1">
        <f>IF(AU333&lt;4,0,IF(AU333=4,5,(AU333-4)*10))</f>
        <v>0</v>
      </c>
      <c r="AX344" s="1">
        <f>IF(AX333&lt;4,0,IF(AX333=4,5,(AX333-4)*10))</f>
        <v>0</v>
      </c>
      <c r="BA344" s="1">
        <f>IF(BA333&lt;4,0,IF(BA333=4,5,(BA333-4)*10))</f>
        <v>0</v>
      </c>
      <c r="BD344" s="1">
        <f>IF(BD333&lt;4,0,IF(BD333=4,5,(BD333-4)*10))</f>
        <v>0</v>
      </c>
      <c r="BG344" s="1">
        <f>IF(BG333&lt;4,0,IF(BG333=4,5,(BG333-4)*10))</f>
        <v>0</v>
      </c>
      <c r="BJ344" s="1">
        <f>IF(BJ333&lt;4,0,IF(BJ333=4,5,(BJ333-4)*10))</f>
        <v>0</v>
      </c>
    </row>
    <row r="345" spans="26:44" ht="12.75">
      <c r="Z345" s="78" t="s">
        <v>494</v>
      </c>
      <c r="AA345" s="101">
        <v>1100</v>
      </c>
      <c r="AB345" s="101">
        <v>15</v>
      </c>
      <c r="AC345" s="101">
        <v>15</v>
      </c>
      <c r="AD345" s="101">
        <v>5</v>
      </c>
      <c r="AE345" s="82">
        <v>0.2</v>
      </c>
      <c r="AF345" s="101">
        <v>3</v>
      </c>
      <c r="AG345" s="82">
        <v>0.2</v>
      </c>
      <c r="AH345" s="101">
        <v>0</v>
      </c>
      <c r="AI345" s="82">
        <v>0</v>
      </c>
      <c r="AJ345" s="101">
        <v>3</v>
      </c>
      <c r="AK345" s="82">
        <v>0.2</v>
      </c>
      <c r="AL345" s="101">
        <v>2</v>
      </c>
      <c r="AM345" s="82">
        <v>0.2</v>
      </c>
      <c r="AN345" s="1"/>
      <c r="AQ345" s="102"/>
      <c r="AR345" s="102"/>
    </row>
    <row r="346" spans="26:40" ht="12.75">
      <c r="Z346" s="78" t="s">
        <v>495</v>
      </c>
      <c r="AA346" s="101">
        <v>1100</v>
      </c>
      <c r="AB346" s="101">
        <v>35</v>
      </c>
      <c r="AC346" s="101">
        <v>10</v>
      </c>
      <c r="AD346" s="101">
        <v>4</v>
      </c>
      <c r="AE346" s="82">
        <v>0.3</v>
      </c>
      <c r="AF346" s="101">
        <v>6</v>
      </c>
      <c r="AG346" s="82">
        <v>0.75</v>
      </c>
      <c r="AH346" s="101">
        <v>4</v>
      </c>
      <c r="AI346" s="82">
        <v>0.1</v>
      </c>
      <c r="AJ346" s="101">
        <v>4</v>
      </c>
      <c r="AK346" s="82">
        <v>0.2</v>
      </c>
      <c r="AL346" s="101">
        <v>4</v>
      </c>
      <c r="AM346" s="82">
        <v>0.25</v>
      </c>
      <c r="AN346" s="1"/>
    </row>
    <row r="347" spans="26:40" ht="12.75">
      <c r="Z347" s="78" t="s">
        <v>496</v>
      </c>
      <c r="AA347" s="101">
        <v>1200</v>
      </c>
      <c r="AB347" s="101">
        <v>20</v>
      </c>
      <c r="AC347" s="101">
        <v>15</v>
      </c>
      <c r="AD347" s="101">
        <v>4</v>
      </c>
      <c r="AE347" s="82">
        <v>0.3</v>
      </c>
      <c r="AF347" s="101">
        <v>2</v>
      </c>
      <c r="AG347" s="82">
        <v>0.2</v>
      </c>
      <c r="AH347" s="101">
        <v>4</v>
      </c>
      <c r="AI347" s="82">
        <v>0.2</v>
      </c>
      <c r="AJ347" s="101">
        <v>1</v>
      </c>
      <c r="AK347" s="82">
        <v>0.2</v>
      </c>
      <c r="AL347" s="101">
        <v>3</v>
      </c>
      <c r="AM347" s="82">
        <v>0.3</v>
      </c>
      <c r="AN347" s="1"/>
    </row>
    <row r="348" spans="26:40" ht="12.75">
      <c r="Z348" s="78" t="s">
        <v>497</v>
      </c>
      <c r="AA348" s="101">
        <v>1200</v>
      </c>
      <c r="AB348" s="101">
        <v>10</v>
      </c>
      <c r="AC348" s="101">
        <v>20</v>
      </c>
      <c r="AD348" s="101">
        <v>3</v>
      </c>
      <c r="AE348" s="82">
        <v>0.25</v>
      </c>
      <c r="AF348" s="101">
        <v>2</v>
      </c>
      <c r="AG348" s="82">
        <v>0.3</v>
      </c>
      <c r="AH348" s="101">
        <v>3</v>
      </c>
      <c r="AI348" s="82">
        <v>0.17</v>
      </c>
      <c r="AJ348" s="101">
        <v>2</v>
      </c>
      <c r="AK348" s="82">
        <v>0.3</v>
      </c>
      <c r="AL348" s="101">
        <v>3</v>
      </c>
      <c r="AM348" s="82">
        <v>0.25</v>
      </c>
      <c r="AN348" s="1"/>
    </row>
    <row r="349" spans="26:40" ht="12.75">
      <c r="Z349" s="78" t="s">
        <v>498</v>
      </c>
      <c r="AA349" s="101">
        <v>1300</v>
      </c>
      <c r="AB349" s="101">
        <v>10</v>
      </c>
      <c r="AC349" s="101">
        <v>10</v>
      </c>
      <c r="AD349" s="101">
        <v>0</v>
      </c>
      <c r="AE349" s="82">
        <v>0.2</v>
      </c>
      <c r="AF349" s="101">
        <v>0</v>
      </c>
      <c r="AG349" s="82">
        <v>0.25</v>
      </c>
      <c r="AH349" s="101">
        <v>0</v>
      </c>
      <c r="AI349" s="82">
        <v>0.1</v>
      </c>
      <c r="AJ349" s="101">
        <v>0</v>
      </c>
      <c r="AK349" s="82">
        <v>0.25</v>
      </c>
      <c r="AL349" s="101">
        <v>0</v>
      </c>
      <c r="AM349" s="82">
        <v>0.2</v>
      </c>
      <c r="AN349" s="1"/>
    </row>
    <row r="350" spans="26:40" ht="12.75">
      <c r="Z350" s="78" t="s">
        <v>499</v>
      </c>
      <c r="AA350" s="101">
        <v>1400</v>
      </c>
      <c r="AB350" s="101">
        <v>10</v>
      </c>
      <c r="AC350" s="101">
        <v>20</v>
      </c>
      <c r="AD350" s="101">
        <v>3</v>
      </c>
      <c r="AE350" s="82">
        <v>0.15</v>
      </c>
      <c r="AF350" s="101">
        <v>1</v>
      </c>
      <c r="AG350" s="82">
        <v>0.25</v>
      </c>
      <c r="AH350" s="101">
        <v>1</v>
      </c>
      <c r="AI350" s="82">
        <v>0.15</v>
      </c>
      <c r="AJ350" s="101">
        <v>1</v>
      </c>
      <c r="AK350" s="82">
        <v>0.25</v>
      </c>
      <c r="AL350" s="101">
        <v>1</v>
      </c>
      <c r="AM350" s="82">
        <v>0.2</v>
      </c>
      <c r="AN350" s="1"/>
    </row>
    <row r="351" spans="26:40" ht="12.75">
      <c r="Z351" s="78" t="s">
        <v>500</v>
      </c>
      <c r="AA351" s="101">
        <v>1500</v>
      </c>
      <c r="AB351" s="101">
        <v>35</v>
      </c>
      <c r="AC351" s="101">
        <v>15</v>
      </c>
      <c r="AD351" s="101">
        <v>4</v>
      </c>
      <c r="AE351" s="82">
        <v>0.3</v>
      </c>
      <c r="AF351" s="101">
        <v>3</v>
      </c>
      <c r="AG351" s="82">
        <v>0.37</v>
      </c>
      <c r="AH351" s="101">
        <v>4</v>
      </c>
      <c r="AI351" s="82">
        <v>0.15</v>
      </c>
      <c r="AJ351" s="101">
        <v>3</v>
      </c>
      <c r="AK351" s="82">
        <v>0.37</v>
      </c>
      <c r="AL351" s="101">
        <v>4</v>
      </c>
      <c r="AM351" s="82">
        <v>0.25</v>
      </c>
      <c r="AN351" s="1"/>
    </row>
    <row r="352" spans="26:40" ht="12.75">
      <c r="Z352" s="78" t="s">
        <v>501</v>
      </c>
      <c r="AA352" s="101">
        <v>1900</v>
      </c>
      <c r="AB352" s="101">
        <v>35</v>
      </c>
      <c r="AC352" s="101">
        <v>15</v>
      </c>
      <c r="AD352" s="101">
        <v>4</v>
      </c>
      <c r="AE352" s="82">
        <v>0.35</v>
      </c>
      <c r="AF352" s="101">
        <v>7</v>
      </c>
      <c r="AG352" s="82">
        <v>0.8</v>
      </c>
      <c r="AH352" s="101">
        <v>4</v>
      </c>
      <c r="AI352" s="82">
        <v>0.15</v>
      </c>
      <c r="AJ352" s="101">
        <v>4</v>
      </c>
      <c r="AK352" s="82">
        <v>0.25</v>
      </c>
      <c r="AL352" s="101">
        <v>4</v>
      </c>
      <c r="AM352" s="82">
        <v>0.3</v>
      </c>
      <c r="AN352" s="1"/>
    </row>
    <row r="353" spans="26:40" ht="12.75">
      <c r="Z353" s="78" t="s">
        <v>521</v>
      </c>
      <c r="AA353" s="101">
        <v>2100</v>
      </c>
      <c r="AB353" s="101">
        <v>35</v>
      </c>
      <c r="AC353" s="101">
        <v>15</v>
      </c>
      <c r="AD353" s="101">
        <v>4</v>
      </c>
      <c r="AE353" s="82">
        <v>0.35</v>
      </c>
      <c r="AF353" s="101">
        <v>4</v>
      </c>
      <c r="AG353" s="82">
        <v>0.45</v>
      </c>
      <c r="AH353" s="101">
        <v>4</v>
      </c>
      <c r="AI353" s="82">
        <v>0.2</v>
      </c>
      <c r="AJ353" s="101">
        <v>4</v>
      </c>
      <c r="AK353" s="82">
        <v>0.45</v>
      </c>
      <c r="AL353" s="101">
        <v>4</v>
      </c>
      <c r="AM353" s="82">
        <v>0.3</v>
      </c>
      <c r="AN353" s="1"/>
    </row>
    <row r="354" spans="26:40" ht="12.75">
      <c r="Z354" s="78" t="s">
        <v>502</v>
      </c>
      <c r="AA354" s="101">
        <v>2200</v>
      </c>
      <c r="AB354" s="101">
        <v>18</v>
      </c>
      <c r="AC354" s="101">
        <v>25</v>
      </c>
      <c r="AD354" s="101">
        <v>4</v>
      </c>
      <c r="AE354" s="82">
        <v>0.35</v>
      </c>
      <c r="AF354" s="101">
        <v>4</v>
      </c>
      <c r="AG354" s="82">
        <v>0.45</v>
      </c>
      <c r="AH354" s="101">
        <v>4</v>
      </c>
      <c r="AI354" s="82">
        <v>0.2</v>
      </c>
      <c r="AJ354" s="101">
        <v>4</v>
      </c>
      <c r="AK354" s="82">
        <v>0.45</v>
      </c>
      <c r="AL354" s="101">
        <v>4</v>
      </c>
      <c r="AM354" s="82">
        <v>0.3</v>
      </c>
      <c r="AN354" s="1"/>
    </row>
    <row r="355" spans="26:40" ht="12.75">
      <c r="Z355" s="78" t="s">
        <v>503</v>
      </c>
      <c r="AA355" s="101">
        <v>3000</v>
      </c>
      <c r="AB355" s="101">
        <v>40</v>
      </c>
      <c r="AC355" s="101">
        <v>10</v>
      </c>
      <c r="AD355" s="101">
        <v>4</v>
      </c>
      <c r="AE355" s="82">
        <v>0.3</v>
      </c>
      <c r="AF355" s="101">
        <v>3</v>
      </c>
      <c r="AG355" s="82">
        <v>0.37</v>
      </c>
      <c r="AH355" s="101">
        <v>4</v>
      </c>
      <c r="AI355" s="82">
        <v>0.15</v>
      </c>
      <c r="AJ355" s="101">
        <v>3</v>
      </c>
      <c r="AK355" s="82">
        <v>0.37</v>
      </c>
      <c r="AL355" s="101">
        <v>4</v>
      </c>
      <c r="AM355" s="82">
        <v>0.25</v>
      </c>
      <c r="AN355" s="1"/>
    </row>
    <row r="356" spans="26:40" ht="12.75">
      <c r="Z356" s="78" t="s">
        <v>504</v>
      </c>
      <c r="AA356" s="101">
        <v>3200</v>
      </c>
      <c r="AB356" s="101">
        <v>20</v>
      </c>
      <c r="AC356" s="101">
        <v>20</v>
      </c>
      <c r="AD356" s="101">
        <v>4</v>
      </c>
      <c r="AE356" s="82">
        <v>0.4</v>
      </c>
      <c r="AF356" s="101">
        <v>3</v>
      </c>
      <c r="AG356" s="82">
        <v>0.2</v>
      </c>
      <c r="AH356" s="101">
        <v>4</v>
      </c>
      <c r="AI356" s="82">
        <v>0.2</v>
      </c>
      <c r="AJ356" s="101">
        <v>1</v>
      </c>
      <c r="AK356" s="82">
        <v>0.2</v>
      </c>
      <c r="AL356" s="101">
        <v>4</v>
      </c>
      <c r="AM356" s="82">
        <v>0.3</v>
      </c>
      <c r="AN356" s="1"/>
    </row>
    <row r="357" spans="26:40" ht="12.75">
      <c r="Z357" s="78" t="s">
        <v>520</v>
      </c>
      <c r="AA357" s="101">
        <v>4200</v>
      </c>
      <c r="AB357" s="101">
        <v>50</v>
      </c>
      <c r="AC357" s="101">
        <v>15</v>
      </c>
      <c r="AD357" s="101">
        <v>4</v>
      </c>
      <c r="AE357" s="82">
        <v>0.35</v>
      </c>
      <c r="AF357" s="101">
        <v>4</v>
      </c>
      <c r="AG357" s="82">
        <v>0.45</v>
      </c>
      <c r="AH357" s="101">
        <v>4</v>
      </c>
      <c r="AI357" s="82">
        <v>0.2</v>
      </c>
      <c r="AJ357" s="101">
        <v>4</v>
      </c>
      <c r="AK357" s="82">
        <v>0.45</v>
      </c>
      <c r="AL357" s="101">
        <v>4</v>
      </c>
      <c r="AM357" s="82">
        <v>0.3</v>
      </c>
      <c r="AN357" s="1"/>
    </row>
    <row r="358" spans="26:40" ht="12.75">
      <c r="Z358" s="78" t="s">
        <v>505</v>
      </c>
      <c r="AA358" s="101">
        <v>4500</v>
      </c>
      <c r="AB358" s="101">
        <v>35</v>
      </c>
      <c r="AC358" s="101">
        <v>15</v>
      </c>
      <c r="AD358" s="101">
        <v>4</v>
      </c>
      <c r="AE358" s="82">
        <v>0.2</v>
      </c>
      <c r="AF358" s="101">
        <v>19</v>
      </c>
      <c r="AG358" s="82">
        <v>0.9</v>
      </c>
      <c r="AH358" s="101">
        <v>4</v>
      </c>
      <c r="AI358" s="82">
        <v>0.1</v>
      </c>
      <c r="AJ358" s="101">
        <v>10</v>
      </c>
      <c r="AK358" s="82">
        <v>0.8</v>
      </c>
      <c r="AL358" s="101">
        <v>4</v>
      </c>
      <c r="AM358" s="82">
        <v>0.2</v>
      </c>
      <c r="AN358" s="1"/>
    </row>
    <row r="359" spans="26:40" ht="12.75">
      <c r="Z359" s="78" t="s">
        <v>506</v>
      </c>
      <c r="AA359" s="101">
        <v>4800</v>
      </c>
      <c r="AB359" s="101">
        <v>35</v>
      </c>
      <c r="AC359" s="101">
        <v>15</v>
      </c>
      <c r="AD359" s="101">
        <v>4</v>
      </c>
      <c r="AE359" s="82">
        <v>0.2</v>
      </c>
      <c r="AF359" s="101">
        <v>15</v>
      </c>
      <c r="AG359" s="82">
        <v>0.85</v>
      </c>
      <c r="AH359" s="101">
        <v>7</v>
      </c>
      <c r="AI359" s="82">
        <v>0.45</v>
      </c>
      <c r="AJ359" s="101">
        <v>15</v>
      </c>
      <c r="AK359" s="82">
        <v>0.85</v>
      </c>
      <c r="AL359" s="101">
        <v>4</v>
      </c>
      <c r="AM359" s="82">
        <v>0.2</v>
      </c>
      <c r="AN359" s="1"/>
    </row>
    <row r="360" spans="26:40" ht="12.75">
      <c r="Z360" s="78" t="s">
        <v>507</v>
      </c>
      <c r="AA360" s="101">
        <v>4800</v>
      </c>
      <c r="AB360" s="101">
        <v>25</v>
      </c>
      <c r="AC360" s="101">
        <v>20</v>
      </c>
      <c r="AD360" s="101">
        <v>8</v>
      </c>
      <c r="AE360" s="82">
        <v>0.4</v>
      </c>
      <c r="AF360" s="101">
        <v>8</v>
      </c>
      <c r="AG360" s="82">
        <v>0.7</v>
      </c>
      <c r="AH360" s="101">
        <v>7</v>
      </c>
      <c r="AI360" s="82">
        <v>0.5</v>
      </c>
      <c r="AJ360" s="101">
        <v>7</v>
      </c>
      <c r="AK360" s="82">
        <v>0.6</v>
      </c>
      <c r="AL360" s="101">
        <v>8</v>
      </c>
      <c r="AM360" s="82">
        <v>0.4</v>
      </c>
      <c r="AN360" s="1"/>
    </row>
    <row r="361" spans="26:40" ht="12.75">
      <c r="Z361" s="78" t="s">
        <v>508</v>
      </c>
      <c r="AA361" s="101">
        <v>5000</v>
      </c>
      <c r="AB361" s="101">
        <v>20</v>
      </c>
      <c r="AC361" s="101">
        <v>15</v>
      </c>
      <c r="AD361" s="101">
        <v>4</v>
      </c>
      <c r="AE361" s="82">
        <v>0.3</v>
      </c>
      <c r="AF361" s="101">
        <v>0</v>
      </c>
      <c r="AG361" s="82">
        <v>0.3</v>
      </c>
      <c r="AH361" s="101">
        <v>10</v>
      </c>
      <c r="AI361" s="82">
        <v>0.6</v>
      </c>
      <c r="AJ361" s="101">
        <v>0</v>
      </c>
      <c r="AK361" s="82">
        <v>0.2</v>
      </c>
      <c r="AL361" s="101">
        <v>4</v>
      </c>
      <c r="AM361" s="82">
        <v>0.4</v>
      </c>
      <c r="AN361" s="1"/>
    </row>
    <row r="362" spans="26:40" ht="12.75">
      <c r="Z362" s="78" t="s">
        <v>509</v>
      </c>
      <c r="AA362" s="101">
        <v>6500</v>
      </c>
      <c r="AB362" s="101">
        <v>20</v>
      </c>
      <c r="AC362" s="101">
        <v>20</v>
      </c>
      <c r="AD362" s="101">
        <v>5</v>
      </c>
      <c r="AE362" s="82">
        <v>0.4</v>
      </c>
      <c r="AF362" s="101">
        <v>8</v>
      </c>
      <c r="AG362" s="82">
        <v>0.6</v>
      </c>
      <c r="AH362" s="101">
        <v>4</v>
      </c>
      <c r="AI362" s="82">
        <v>0.3</v>
      </c>
      <c r="AJ362" s="101">
        <v>4</v>
      </c>
      <c r="AK362" s="82">
        <v>0.5</v>
      </c>
      <c r="AL362" s="101">
        <v>6</v>
      </c>
      <c r="AM362" s="82">
        <v>0.4</v>
      </c>
      <c r="AN362" s="1"/>
    </row>
    <row r="363" spans="26:40" ht="12.75">
      <c r="Z363" s="78" t="s">
        <v>510</v>
      </c>
      <c r="AA363" s="101">
        <v>8000</v>
      </c>
      <c r="AB363" s="101">
        <v>20</v>
      </c>
      <c r="AC363" s="101">
        <v>25</v>
      </c>
      <c r="AD363" s="101">
        <v>6</v>
      </c>
      <c r="AE363" s="82">
        <v>0.4</v>
      </c>
      <c r="AF363" s="101">
        <v>6</v>
      </c>
      <c r="AG363" s="82">
        <v>0.65</v>
      </c>
      <c r="AH363" s="101">
        <v>5</v>
      </c>
      <c r="AI363" s="82">
        <v>0.35</v>
      </c>
      <c r="AJ363" s="101">
        <v>5</v>
      </c>
      <c r="AK363" s="82">
        <v>0.5</v>
      </c>
      <c r="AL363" s="101">
        <v>9</v>
      </c>
      <c r="AM363" s="82">
        <v>0.45</v>
      </c>
      <c r="AN363" s="1"/>
    </row>
    <row r="364" spans="26:40" ht="12.75">
      <c r="Z364" s="78" t="s">
        <v>511</v>
      </c>
      <c r="AA364" s="101">
        <v>9000</v>
      </c>
      <c r="AB364" s="101">
        <v>30</v>
      </c>
      <c r="AC364" s="101">
        <v>10</v>
      </c>
      <c r="AD364" s="101">
        <v>5</v>
      </c>
      <c r="AE364" s="82">
        <v>0.4</v>
      </c>
      <c r="AF364" s="101">
        <v>5</v>
      </c>
      <c r="AG364" s="82">
        <v>0.55</v>
      </c>
      <c r="AH364" s="101">
        <v>4</v>
      </c>
      <c r="AI364" s="82">
        <v>0.4</v>
      </c>
      <c r="AJ364" s="101">
        <v>5</v>
      </c>
      <c r="AK364" s="82">
        <v>0.55</v>
      </c>
      <c r="AL364" s="101">
        <v>6</v>
      </c>
      <c r="AM364" s="82">
        <v>0.4</v>
      </c>
      <c r="AN364" s="1"/>
    </row>
    <row r="365" spans="26:40" ht="12.75">
      <c r="Z365" s="78" t="s">
        <v>519</v>
      </c>
      <c r="AA365" s="101">
        <v>10000</v>
      </c>
      <c r="AB365" s="101">
        <v>35</v>
      </c>
      <c r="AC365" s="101">
        <v>10</v>
      </c>
      <c r="AD365" s="101">
        <v>6</v>
      </c>
      <c r="AE365" s="82">
        <v>0.4</v>
      </c>
      <c r="AF365" s="101">
        <v>6</v>
      </c>
      <c r="AG365" s="82">
        <v>0.6</v>
      </c>
      <c r="AH365" s="101">
        <v>5</v>
      </c>
      <c r="AI365" s="82">
        <v>0.42</v>
      </c>
      <c r="AJ365" s="101">
        <v>6</v>
      </c>
      <c r="AK365" s="82">
        <v>0.6</v>
      </c>
      <c r="AL365" s="101">
        <v>9</v>
      </c>
      <c r="AM365" s="82">
        <v>0.45</v>
      </c>
      <c r="AN365" s="1"/>
    </row>
    <row r="366" spans="26:40" ht="12.75">
      <c r="Z366" s="78" t="s">
        <v>512</v>
      </c>
      <c r="AA366" s="101">
        <v>10000</v>
      </c>
      <c r="AB366" s="101">
        <v>20</v>
      </c>
      <c r="AC366" s="101">
        <v>30</v>
      </c>
      <c r="AD366" s="101">
        <v>10</v>
      </c>
      <c r="AE366" s="82">
        <v>0.5</v>
      </c>
      <c r="AF366" s="101">
        <v>4</v>
      </c>
      <c r="AG366" s="82">
        <v>0.2</v>
      </c>
      <c r="AH366" s="101">
        <v>10</v>
      </c>
      <c r="AI366" s="82">
        <v>0.6</v>
      </c>
      <c r="AJ366" s="101">
        <v>4</v>
      </c>
      <c r="AK366" s="82">
        <v>0.2</v>
      </c>
      <c r="AL366" s="101">
        <v>5</v>
      </c>
      <c r="AM366" s="82">
        <v>0.5</v>
      </c>
      <c r="AN366" s="1"/>
    </row>
    <row r="367" spans="26:40" ht="12.75">
      <c r="Z367" s="78" t="s">
        <v>513</v>
      </c>
      <c r="AA367" s="101">
        <v>12500</v>
      </c>
      <c r="AB367" s="101">
        <v>35</v>
      </c>
      <c r="AC367" s="101">
        <v>25</v>
      </c>
      <c r="AD367" s="101">
        <v>12</v>
      </c>
      <c r="AE367" s="82">
        <v>0.4</v>
      </c>
      <c r="AF367" s="101">
        <v>18</v>
      </c>
      <c r="AG367" s="82">
        <v>0.8</v>
      </c>
      <c r="AH367" s="101">
        <v>12</v>
      </c>
      <c r="AI367" s="82">
        <v>0.6</v>
      </c>
      <c r="AJ367" s="101">
        <v>10</v>
      </c>
      <c r="AK367" s="82">
        <v>0.4</v>
      </c>
      <c r="AL367" s="101">
        <v>20</v>
      </c>
      <c r="AM367" s="82">
        <v>0.5</v>
      </c>
      <c r="AN367" s="1"/>
    </row>
    <row r="368" spans="26:40" ht="12.75">
      <c r="Z368" s="78" t="s">
        <v>514</v>
      </c>
      <c r="AA368" s="101">
        <v>15000</v>
      </c>
      <c r="AB368" s="101">
        <v>50</v>
      </c>
      <c r="AC368" s="101">
        <v>25</v>
      </c>
      <c r="AD368" s="101">
        <v>13</v>
      </c>
      <c r="AE368" s="82">
        <v>0.5</v>
      </c>
      <c r="AF368" s="101">
        <v>19</v>
      </c>
      <c r="AG368" s="82">
        <v>0.9</v>
      </c>
      <c r="AH368" s="101">
        <v>14</v>
      </c>
      <c r="AI368" s="82">
        <v>0.7</v>
      </c>
      <c r="AJ368" s="101">
        <v>13</v>
      </c>
      <c r="AK368" s="82">
        <v>0.5</v>
      </c>
      <c r="AL368" s="101">
        <v>20</v>
      </c>
      <c r="AM368" s="82">
        <v>0.6</v>
      </c>
      <c r="AN368" s="1"/>
    </row>
    <row r="369" spans="26:40" ht="12.75">
      <c r="Z369" s="78" t="s">
        <v>515</v>
      </c>
      <c r="AA369" s="101">
        <v>17000</v>
      </c>
      <c r="AB369" s="101">
        <v>42</v>
      </c>
      <c r="AC369" s="101">
        <v>30</v>
      </c>
      <c r="AD369" s="101">
        <v>13</v>
      </c>
      <c r="AE369" s="82">
        <v>0.5</v>
      </c>
      <c r="AF369" s="101">
        <v>16</v>
      </c>
      <c r="AG369" s="82">
        <v>0.7</v>
      </c>
      <c r="AH369" s="101">
        <v>13</v>
      </c>
      <c r="AI369" s="82">
        <v>0.6</v>
      </c>
      <c r="AJ369" s="101">
        <v>16</v>
      </c>
      <c r="AK369" s="82">
        <v>0.7</v>
      </c>
      <c r="AL369" s="101">
        <v>20</v>
      </c>
      <c r="AM369" s="82">
        <v>0.6</v>
      </c>
      <c r="AN369" s="1"/>
    </row>
    <row r="370" spans="26:40" ht="12.75">
      <c r="Z370" s="78" t="s">
        <v>518</v>
      </c>
      <c r="AA370" s="101">
        <v>20000</v>
      </c>
      <c r="AB370" s="101">
        <v>50</v>
      </c>
      <c r="AC370" s="101">
        <v>35</v>
      </c>
      <c r="AD370" s="101">
        <v>18</v>
      </c>
      <c r="AE370" s="82">
        <v>0.6</v>
      </c>
      <c r="AF370" s="101">
        <v>17</v>
      </c>
      <c r="AG370" s="82">
        <v>0.55</v>
      </c>
      <c r="AH370" s="101">
        <v>15</v>
      </c>
      <c r="AI370" s="82">
        <v>0.65</v>
      </c>
      <c r="AJ370" s="101">
        <v>17</v>
      </c>
      <c r="AK370" s="82">
        <v>0.55</v>
      </c>
      <c r="AL370" s="101">
        <v>10</v>
      </c>
      <c r="AM370" s="82">
        <v>0.5</v>
      </c>
      <c r="AN370" s="1"/>
    </row>
    <row r="371" spans="26:40" ht="12.75">
      <c r="Z371" s="78" t="s">
        <v>516</v>
      </c>
      <c r="AA371" s="101">
        <v>20000</v>
      </c>
      <c r="AB371" s="101">
        <v>30</v>
      </c>
      <c r="AC371" s="101">
        <v>30</v>
      </c>
      <c r="AD371" s="101">
        <v>15</v>
      </c>
      <c r="AE371" s="82">
        <v>0.55</v>
      </c>
      <c r="AF371" s="101">
        <v>19</v>
      </c>
      <c r="AG371" s="82">
        <v>0.9</v>
      </c>
      <c r="AH371" s="101">
        <v>16</v>
      </c>
      <c r="AI371" s="82">
        <v>0.7</v>
      </c>
      <c r="AJ371" s="101">
        <v>15</v>
      </c>
      <c r="AK371" s="82">
        <v>0.6</v>
      </c>
      <c r="AL371" s="101">
        <v>20</v>
      </c>
      <c r="AM371" s="82">
        <v>0.65</v>
      </c>
      <c r="AN371" s="1"/>
    </row>
    <row r="372" spans="26:39" ht="12.75">
      <c r="Z372" s="78" t="s">
        <v>517</v>
      </c>
      <c r="AA372" s="101">
        <v>35000</v>
      </c>
      <c r="AB372" s="101">
        <v>50</v>
      </c>
      <c r="AC372" s="101">
        <v>35</v>
      </c>
      <c r="AD372" s="101">
        <v>18</v>
      </c>
      <c r="AE372" s="82">
        <v>0.6</v>
      </c>
      <c r="AF372" s="101">
        <v>19</v>
      </c>
      <c r="AG372" s="82">
        <v>0.9</v>
      </c>
      <c r="AH372" s="101">
        <v>16</v>
      </c>
      <c r="AI372" s="82">
        <v>0.7</v>
      </c>
      <c r="AJ372" s="101">
        <v>18</v>
      </c>
      <c r="AK372" s="82">
        <v>0.6</v>
      </c>
      <c r="AL372" s="101">
        <v>20</v>
      </c>
      <c r="AM372" s="82">
        <v>0.7</v>
      </c>
    </row>
    <row r="373" ht="12.75">
      <c r="Z373" s="78" t="s">
        <v>1158</v>
      </c>
    </row>
    <row r="374" spans="26:39" ht="12.75">
      <c r="Z374" s="78">
        <f>IF(Разное!AI92="","",Разное!AI92)</f>
      </c>
      <c r="AA374" s="1"/>
      <c r="AB374" s="1"/>
      <c r="AC374" s="1">
        <f>Разное!AI96</f>
        <v>0</v>
      </c>
      <c r="AD374" s="1">
        <f>Разное!AM96</f>
        <v>0</v>
      </c>
      <c r="AE374" s="82">
        <f>Разное!AO96</f>
        <v>0</v>
      </c>
      <c r="AF374" s="1">
        <f>Разное!AM98</f>
        <v>0</v>
      </c>
      <c r="AG374" s="82">
        <f>Разное!AO98</f>
        <v>0</v>
      </c>
      <c r="AH374" s="78">
        <f>Разное!AM100</f>
        <v>0</v>
      </c>
      <c r="AI374" s="84">
        <f>Разное!AO100</f>
        <v>0</v>
      </c>
      <c r="AJ374" s="78">
        <f>Разное!AM102</f>
        <v>0</v>
      </c>
      <c r="AK374" s="84">
        <f>Разное!AO102</f>
        <v>0</v>
      </c>
      <c r="AL374" s="78">
        <f>Разное!AM104</f>
        <v>0</v>
      </c>
      <c r="AM374" s="84">
        <f>Разное!AO104</f>
        <v>0</v>
      </c>
    </row>
    <row r="375" spans="26:39" ht="12.75">
      <c r="Z375" s="78">
        <f>IF(Разное!AS92="","",Разное!AS92)</f>
      </c>
      <c r="AC375" s="78">
        <f>Разное!AZ96</f>
        <v>0</v>
      </c>
      <c r="AD375" s="78">
        <f>Разное!AS96</f>
        <v>0</v>
      </c>
      <c r="AE375" s="84">
        <f>Разное!AU96</f>
        <v>0</v>
      </c>
      <c r="AF375" s="78">
        <f>Разное!AS98</f>
        <v>0</v>
      </c>
      <c r="AG375" s="84">
        <f>Разное!AU98</f>
        <v>0</v>
      </c>
      <c r="AH375" s="78">
        <f>Разное!AS100</f>
        <v>0</v>
      </c>
      <c r="AI375" s="84">
        <f>Разное!AU100</f>
        <v>0</v>
      </c>
      <c r="AJ375" s="78">
        <f>Разное!AS102</f>
        <v>0</v>
      </c>
      <c r="AK375" s="84">
        <f>Разное!AU102</f>
        <v>0</v>
      </c>
      <c r="AL375" s="78">
        <f>Разное!AS104</f>
        <v>0</v>
      </c>
      <c r="AM375" s="84">
        <f>Разное!AU104</f>
        <v>0</v>
      </c>
    </row>
    <row r="377" spans="26:42" ht="15.75">
      <c r="Z377" s="100" t="s">
        <v>522</v>
      </c>
      <c r="AA377" s="1" t="s">
        <v>859</v>
      </c>
      <c r="AB377" s="1" t="s">
        <v>860</v>
      </c>
      <c r="AC377" s="1" t="s">
        <v>174</v>
      </c>
      <c r="AD377" s="1" t="s">
        <v>335</v>
      </c>
      <c r="AE377" s="1" t="s">
        <v>275</v>
      </c>
      <c r="AF377" s="1" t="s">
        <v>861</v>
      </c>
      <c r="AG377" s="1" t="s">
        <v>275</v>
      </c>
      <c r="AH377" s="1" t="s">
        <v>337</v>
      </c>
      <c r="AI377" s="1" t="s">
        <v>275</v>
      </c>
      <c r="AJ377" s="1" t="s">
        <v>336</v>
      </c>
      <c r="AK377" s="1" t="s">
        <v>275</v>
      </c>
      <c r="AL377" s="1" t="s">
        <v>332</v>
      </c>
      <c r="AM377" s="1" t="s">
        <v>275</v>
      </c>
      <c r="AP377" s="78" t="s">
        <v>1059</v>
      </c>
    </row>
    <row r="378" spans="25:60" ht="12.75">
      <c r="Y378" s="78">
        <v>1</v>
      </c>
      <c r="Z378" s="78" t="s">
        <v>151</v>
      </c>
      <c r="AP378" s="78" t="s">
        <v>933</v>
      </c>
      <c r="AS378" s="78" t="s">
        <v>934</v>
      </c>
      <c r="AV378" s="78" t="s">
        <v>935</v>
      </c>
      <c r="AY378" s="78" t="s">
        <v>936</v>
      </c>
      <c r="BB378" s="78" t="s">
        <v>937</v>
      </c>
      <c r="BE378" s="78" t="s">
        <v>938</v>
      </c>
      <c r="BH378" s="78" t="s">
        <v>939</v>
      </c>
    </row>
    <row r="379" spans="25:61" ht="12.75">
      <c r="Y379" s="78">
        <v>1</v>
      </c>
      <c r="Z379" s="78" t="s">
        <v>956</v>
      </c>
      <c r="AQ379" s="1">
        <f>SUM(AQ380:AQ389)</f>
        <v>0</v>
      </c>
      <c r="AT379" s="1">
        <f>SUM(AT380:AT389)</f>
        <v>0</v>
      </c>
      <c r="AW379" s="1">
        <f>SUM(AW380:AW389)</f>
        <v>0</v>
      </c>
      <c r="AZ379" s="1">
        <f>SUM(AZ380:AZ389)</f>
        <v>0</v>
      </c>
      <c r="BC379" s="1">
        <f>SUM(BC380:BC389)</f>
        <v>0</v>
      </c>
      <c r="BF379" s="1">
        <f>SUM(BF380:BF389)</f>
        <v>0</v>
      </c>
      <c r="BI379" s="1">
        <f>SUM(BI380:BI389)</f>
        <v>0</v>
      </c>
    </row>
    <row r="380" spans="25:61" ht="12.75">
      <c r="Y380" s="78">
        <v>1</v>
      </c>
      <c r="Z380" s="78" t="s">
        <v>523</v>
      </c>
      <c r="AA380" s="78">
        <v>90</v>
      </c>
      <c r="AB380" s="78">
        <v>1</v>
      </c>
      <c r="AC380" s="78">
        <v>3</v>
      </c>
      <c r="AD380" s="78">
        <v>1</v>
      </c>
      <c r="AE380" s="84">
        <v>0.25</v>
      </c>
      <c r="AF380" s="78">
        <v>0</v>
      </c>
      <c r="AG380" s="84">
        <v>0.2</v>
      </c>
      <c r="AH380" s="78">
        <v>0</v>
      </c>
      <c r="AI380" s="84">
        <v>0.2</v>
      </c>
      <c r="AJ380" s="78">
        <v>0</v>
      </c>
      <c r="AK380" s="84">
        <v>0.1</v>
      </c>
      <c r="AP380" s="78" t="b">
        <v>0</v>
      </c>
      <c r="AQ380" s="1">
        <f aca="true" t="shared" si="34" ref="AQ380:AQ389">IF(AP380=FALSE,0,1)</f>
        <v>0</v>
      </c>
      <c r="AS380" s="78" t="b">
        <v>0</v>
      </c>
      <c r="AT380" s="1">
        <f aca="true" t="shared" si="35" ref="AT380:AT389">IF(AS380=FALSE,0,1)</f>
        <v>0</v>
      </c>
      <c r="AV380" s="78" t="b">
        <v>0</v>
      </c>
      <c r="AW380" s="1">
        <f aca="true" t="shared" si="36" ref="AW380:AW389">IF(AV380=FALSE,0,1)</f>
        <v>0</v>
      </c>
      <c r="AY380" s="78" t="b">
        <v>0</v>
      </c>
      <c r="AZ380" s="1">
        <f aca="true" t="shared" si="37" ref="AZ380:AZ389">IF(AY380=FALSE,0,1)</f>
        <v>0</v>
      </c>
      <c r="BB380" s="78" t="b">
        <v>0</v>
      </c>
      <c r="BC380" s="1">
        <f aca="true" t="shared" si="38" ref="BC380:BC389">IF(BB380=FALSE,0,1)</f>
        <v>0</v>
      </c>
      <c r="BE380" s="78" t="b">
        <v>0</v>
      </c>
      <c r="BF380" s="1">
        <f aca="true" t="shared" si="39" ref="BF380:BF389">IF(BE380=FALSE,0,1)</f>
        <v>0</v>
      </c>
      <c r="BH380" s="78" t="b">
        <v>0</v>
      </c>
      <c r="BI380" s="1">
        <f aca="true" t="shared" si="40" ref="BI380:BI389">IF(BH380=FALSE,0,1)</f>
        <v>0</v>
      </c>
    </row>
    <row r="381" spans="25:61" ht="12.75">
      <c r="Y381" s="78">
        <v>1</v>
      </c>
      <c r="Z381" s="78" t="s">
        <v>524</v>
      </c>
      <c r="AA381" s="78">
        <v>100</v>
      </c>
      <c r="AB381" s="78">
        <v>4</v>
      </c>
      <c r="AC381" s="78">
        <v>3</v>
      </c>
      <c r="AD381" s="78">
        <v>3</v>
      </c>
      <c r="AE381" s="84">
        <v>0.25</v>
      </c>
      <c r="AF381" s="78">
        <v>0</v>
      </c>
      <c r="AG381" s="84">
        <v>0.25</v>
      </c>
      <c r="AH381" s="78">
        <v>1</v>
      </c>
      <c r="AI381" s="84">
        <v>0.15</v>
      </c>
      <c r="AJ381" s="78">
        <v>0</v>
      </c>
      <c r="AK381" s="84">
        <v>0.25</v>
      </c>
      <c r="AP381" s="78" t="b">
        <v>0</v>
      </c>
      <c r="AQ381" s="1">
        <f t="shared" si="34"/>
        <v>0</v>
      </c>
      <c r="AS381" s="78" t="b">
        <v>0</v>
      </c>
      <c r="AT381" s="1">
        <f t="shared" si="35"/>
        <v>0</v>
      </c>
      <c r="AV381" s="78" t="b">
        <v>0</v>
      </c>
      <c r="AW381" s="1">
        <f t="shared" si="36"/>
        <v>0</v>
      </c>
      <c r="AY381" s="78" t="b">
        <v>0</v>
      </c>
      <c r="AZ381" s="1">
        <f t="shared" si="37"/>
        <v>0</v>
      </c>
      <c r="BB381" s="78" t="b">
        <v>0</v>
      </c>
      <c r="BC381" s="1">
        <f t="shared" si="38"/>
        <v>0</v>
      </c>
      <c r="BE381" s="78" t="b">
        <v>0</v>
      </c>
      <c r="BF381" s="1">
        <f t="shared" si="39"/>
        <v>0</v>
      </c>
      <c r="BH381" s="78" t="b">
        <v>0</v>
      </c>
      <c r="BI381" s="1">
        <f t="shared" si="40"/>
        <v>0</v>
      </c>
    </row>
    <row r="382" spans="25:61" ht="12.75">
      <c r="Y382" s="78">
        <v>1</v>
      </c>
      <c r="Z382" s="78" t="s">
        <v>525</v>
      </c>
      <c r="AA382" s="78">
        <v>120</v>
      </c>
      <c r="AB382" s="78">
        <v>2</v>
      </c>
      <c r="AC382" s="78">
        <v>4</v>
      </c>
      <c r="AD382" s="78">
        <v>2</v>
      </c>
      <c r="AE382" s="84">
        <v>0.3</v>
      </c>
      <c r="AF382" s="78">
        <v>1</v>
      </c>
      <c r="AG382" s="84">
        <v>0.3</v>
      </c>
      <c r="AH382" s="78">
        <v>1</v>
      </c>
      <c r="AI382" s="84">
        <v>0.2</v>
      </c>
      <c r="AJ382" s="78">
        <v>1</v>
      </c>
      <c r="AK382" s="84">
        <v>0.3</v>
      </c>
      <c r="AP382" s="78" t="b">
        <v>0</v>
      </c>
      <c r="AQ382" s="1">
        <f t="shared" si="34"/>
        <v>0</v>
      </c>
      <c r="AS382" s="78" t="b">
        <v>0</v>
      </c>
      <c r="AT382" s="1">
        <f t="shared" si="35"/>
        <v>0</v>
      </c>
      <c r="AV382" s="78" t="b">
        <v>0</v>
      </c>
      <c r="AW382" s="1">
        <f t="shared" si="36"/>
        <v>0</v>
      </c>
      <c r="AY382" s="78" t="b">
        <v>0</v>
      </c>
      <c r="AZ382" s="1">
        <f t="shared" si="37"/>
        <v>0</v>
      </c>
      <c r="BB382" s="78" t="b">
        <v>0</v>
      </c>
      <c r="BC382" s="1">
        <f t="shared" si="38"/>
        <v>0</v>
      </c>
      <c r="BE382" s="78" t="b">
        <v>0</v>
      </c>
      <c r="BF382" s="1">
        <f t="shared" si="39"/>
        <v>0</v>
      </c>
      <c r="BH382" s="78" t="b">
        <v>0</v>
      </c>
      <c r="BI382" s="1">
        <f t="shared" si="40"/>
        <v>0</v>
      </c>
    </row>
    <row r="383" spans="25:61" ht="12.75">
      <c r="Y383" s="78">
        <v>1</v>
      </c>
      <c r="Z383" s="78" t="s">
        <v>526</v>
      </c>
      <c r="AA383" s="78">
        <v>200</v>
      </c>
      <c r="AB383" s="78">
        <v>5</v>
      </c>
      <c r="AC383" s="78">
        <v>6</v>
      </c>
      <c r="AD383" s="78">
        <v>4</v>
      </c>
      <c r="AE383" s="84">
        <v>0.3</v>
      </c>
      <c r="AF383" s="78">
        <v>6</v>
      </c>
      <c r="AG383" s="84">
        <v>0.75</v>
      </c>
      <c r="AH383" s="78">
        <v>4</v>
      </c>
      <c r="AI383" s="84">
        <v>0.1</v>
      </c>
      <c r="AJ383" s="78">
        <v>3</v>
      </c>
      <c r="AK383" s="84">
        <v>0.35</v>
      </c>
      <c r="AP383" s="78" t="b">
        <v>0</v>
      </c>
      <c r="AQ383" s="1">
        <f t="shared" si="34"/>
        <v>0</v>
      </c>
      <c r="AS383" s="78" t="b">
        <v>0</v>
      </c>
      <c r="AT383" s="1">
        <f t="shared" si="35"/>
        <v>0</v>
      </c>
      <c r="AV383" s="78" t="b">
        <v>0</v>
      </c>
      <c r="AW383" s="1">
        <f t="shared" si="36"/>
        <v>0</v>
      </c>
      <c r="AY383" s="78" t="b">
        <v>0</v>
      </c>
      <c r="AZ383" s="1">
        <f t="shared" si="37"/>
        <v>0</v>
      </c>
      <c r="BB383" s="78" t="b">
        <v>0</v>
      </c>
      <c r="BC383" s="1">
        <f t="shared" si="38"/>
        <v>0</v>
      </c>
      <c r="BE383" s="78" t="b">
        <v>0</v>
      </c>
      <c r="BF383" s="1">
        <f t="shared" si="39"/>
        <v>0</v>
      </c>
      <c r="BH383" s="78" t="b">
        <v>0</v>
      </c>
      <c r="BI383" s="1">
        <f t="shared" si="40"/>
        <v>0</v>
      </c>
    </row>
    <row r="384" spans="25:61" ht="12.75">
      <c r="Y384" s="78">
        <v>1</v>
      </c>
      <c r="Z384" s="78" t="s">
        <v>527</v>
      </c>
      <c r="AA384" s="78">
        <v>250</v>
      </c>
      <c r="AB384" s="78">
        <v>5</v>
      </c>
      <c r="AC384" s="78">
        <v>6</v>
      </c>
      <c r="AD384" s="78">
        <v>4</v>
      </c>
      <c r="AE384" s="84">
        <v>0.35</v>
      </c>
      <c r="AF384" s="78">
        <v>7</v>
      </c>
      <c r="AG384" s="84">
        <v>0.8</v>
      </c>
      <c r="AH384" s="78">
        <v>4</v>
      </c>
      <c r="AI384" s="84">
        <v>0.2</v>
      </c>
      <c r="AJ384" s="78">
        <v>4</v>
      </c>
      <c r="AK384" s="84">
        <v>0.25</v>
      </c>
      <c r="AP384" s="78" t="b">
        <v>0</v>
      </c>
      <c r="AQ384" s="1">
        <f t="shared" si="34"/>
        <v>0</v>
      </c>
      <c r="AS384" s="78" t="b">
        <v>0</v>
      </c>
      <c r="AT384" s="1">
        <f t="shared" si="35"/>
        <v>0</v>
      </c>
      <c r="AV384" s="78" t="b">
        <v>0</v>
      </c>
      <c r="AW384" s="1">
        <f t="shared" si="36"/>
        <v>0</v>
      </c>
      <c r="AY384" s="78" t="b">
        <v>0</v>
      </c>
      <c r="AZ384" s="1">
        <f t="shared" si="37"/>
        <v>0</v>
      </c>
      <c r="BB384" s="78" t="b">
        <v>0</v>
      </c>
      <c r="BC384" s="1">
        <f t="shared" si="38"/>
        <v>0</v>
      </c>
      <c r="BE384" s="78" t="b">
        <v>0</v>
      </c>
      <c r="BF384" s="1">
        <f t="shared" si="39"/>
        <v>0</v>
      </c>
      <c r="BH384" s="78" t="b">
        <v>0</v>
      </c>
      <c r="BI384" s="1">
        <f t="shared" si="40"/>
        <v>0</v>
      </c>
    </row>
    <row r="385" spans="26:61" ht="12.75">
      <c r="Z385" s="78" t="s">
        <v>528</v>
      </c>
      <c r="AA385" s="78">
        <v>250</v>
      </c>
      <c r="AB385" s="78">
        <v>4</v>
      </c>
      <c r="AC385" s="78">
        <v>5</v>
      </c>
      <c r="AD385" s="78">
        <v>5</v>
      </c>
      <c r="AE385" s="84">
        <v>0.3</v>
      </c>
      <c r="AF385" s="78">
        <v>3</v>
      </c>
      <c r="AG385" s="84">
        <v>0.1</v>
      </c>
      <c r="AH385" s="78">
        <v>0</v>
      </c>
      <c r="AI385" s="84">
        <v>0.1</v>
      </c>
      <c r="AJ385" s="78">
        <v>3</v>
      </c>
      <c r="AK385" s="84">
        <v>0.2</v>
      </c>
      <c r="AP385" s="78" t="b">
        <v>0</v>
      </c>
      <c r="AQ385" s="1">
        <f t="shared" si="34"/>
        <v>0</v>
      </c>
      <c r="AS385" s="78" t="b">
        <v>0</v>
      </c>
      <c r="AT385" s="1">
        <f t="shared" si="35"/>
        <v>0</v>
      </c>
      <c r="AV385" s="78" t="b">
        <v>0</v>
      </c>
      <c r="AW385" s="1">
        <f t="shared" si="36"/>
        <v>0</v>
      </c>
      <c r="AY385" s="78" t="b">
        <v>0</v>
      </c>
      <c r="AZ385" s="1">
        <f t="shared" si="37"/>
        <v>0</v>
      </c>
      <c r="BB385" s="78" t="b">
        <v>0</v>
      </c>
      <c r="BC385" s="1">
        <f t="shared" si="38"/>
        <v>0</v>
      </c>
      <c r="BE385" s="78" t="b">
        <v>0</v>
      </c>
      <c r="BF385" s="1">
        <f t="shared" si="39"/>
        <v>0</v>
      </c>
      <c r="BH385" s="78" t="b">
        <v>0</v>
      </c>
      <c r="BI385" s="1">
        <f t="shared" si="40"/>
        <v>0</v>
      </c>
    </row>
    <row r="386" spans="26:61" ht="12.75">
      <c r="Z386" s="78" t="s">
        <v>529</v>
      </c>
      <c r="AA386" s="78">
        <v>300</v>
      </c>
      <c r="AB386" s="78">
        <v>4</v>
      </c>
      <c r="AC386" s="78">
        <v>7</v>
      </c>
      <c r="AD386" s="78">
        <v>4</v>
      </c>
      <c r="AE386" s="84">
        <v>0.3</v>
      </c>
      <c r="AF386" s="78">
        <v>3</v>
      </c>
      <c r="AG386" s="84">
        <v>0.4</v>
      </c>
      <c r="AH386" s="78">
        <v>1</v>
      </c>
      <c r="AI386" s="84">
        <v>0.4</v>
      </c>
      <c r="AJ386" s="78">
        <v>3</v>
      </c>
      <c r="AK386" s="84">
        <v>0.2</v>
      </c>
      <c r="AP386" s="78" t="b">
        <v>0</v>
      </c>
      <c r="AQ386" s="1">
        <f t="shared" si="34"/>
        <v>0</v>
      </c>
      <c r="AS386" s="78" t="b">
        <v>0</v>
      </c>
      <c r="AT386" s="1">
        <f t="shared" si="35"/>
        <v>0</v>
      </c>
      <c r="AV386" s="78" t="b">
        <v>0</v>
      </c>
      <c r="AW386" s="1">
        <f t="shared" si="36"/>
        <v>0</v>
      </c>
      <c r="AY386" s="78" t="b">
        <v>0</v>
      </c>
      <c r="AZ386" s="1">
        <f t="shared" si="37"/>
        <v>0</v>
      </c>
      <c r="BB386" s="78" t="b">
        <v>0</v>
      </c>
      <c r="BC386" s="1">
        <f t="shared" si="38"/>
        <v>0</v>
      </c>
      <c r="BE386" s="78" t="b">
        <v>0</v>
      </c>
      <c r="BF386" s="1">
        <f t="shared" si="39"/>
        <v>0</v>
      </c>
      <c r="BH386" s="78" t="b">
        <v>0</v>
      </c>
      <c r="BI386" s="1">
        <f t="shared" si="40"/>
        <v>0</v>
      </c>
    </row>
    <row r="387" spans="26:61" ht="12.75">
      <c r="Z387" s="78" t="s">
        <v>530</v>
      </c>
      <c r="AA387" s="78">
        <v>350</v>
      </c>
      <c r="AB387" s="78">
        <v>4</v>
      </c>
      <c r="AC387" s="78">
        <v>7</v>
      </c>
      <c r="AD387" s="78">
        <v>4</v>
      </c>
      <c r="AE387" s="84">
        <v>0.3</v>
      </c>
      <c r="AF387" s="78">
        <v>3</v>
      </c>
      <c r="AG387" s="84">
        <v>0.2</v>
      </c>
      <c r="AH387" s="78">
        <v>4</v>
      </c>
      <c r="AI387" s="84">
        <v>0.2</v>
      </c>
      <c r="AJ387" s="78">
        <v>1</v>
      </c>
      <c r="AK387" s="84">
        <v>0.2</v>
      </c>
      <c r="AP387" s="78" t="b">
        <v>0</v>
      </c>
      <c r="AQ387" s="1">
        <f t="shared" si="34"/>
        <v>0</v>
      </c>
      <c r="AS387" s="78" t="b">
        <v>0</v>
      </c>
      <c r="AT387" s="1">
        <f t="shared" si="35"/>
        <v>0</v>
      </c>
      <c r="AV387" s="78" t="b">
        <v>0</v>
      </c>
      <c r="AW387" s="1">
        <f t="shared" si="36"/>
        <v>0</v>
      </c>
      <c r="AY387" s="78" t="b">
        <v>0</v>
      </c>
      <c r="AZ387" s="1">
        <f t="shared" si="37"/>
        <v>0</v>
      </c>
      <c r="BB387" s="78" t="b">
        <v>0</v>
      </c>
      <c r="BC387" s="1">
        <f t="shared" si="38"/>
        <v>0</v>
      </c>
      <c r="BE387" s="78" t="b">
        <v>0</v>
      </c>
      <c r="BF387" s="1">
        <f t="shared" si="39"/>
        <v>0</v>
      </c>
      <c r="BH387" s="78" t="b">
        <v>0</v>
      </c>
      <c r="BI387" s="1">
        <f t="shared" si="40"/>
        <v>0</v>
      </c>
    </row>
    <row r="388" spans="26:61" ht="12.75">
      <c r="Z388" s="78" t="s">
        <v>531</v>
      </c>
      <c r="AA388" s="78">
        <v>350</v>
      </c>
      <c r="AB388" s="78">
        <v>10</v>
      </c>
      <c r="AC388" s="78">
        <v>6</v>
      </c>
      <c r="AD388" s="78">
        <v>4</v>
      </c>
      <c r="AE388" s="84">
        <v>0.3</v>
      </c>
      <c r="AF388" s="78">
        <v>4</v>
      </c>
      <c r="AG388" s="84">
        <v>0.45</v>
      </c>
      <c r="AH388" s="78">
        <v>4</v>
      </c>
      <c r="AI388" s="84">
        <v>0.2</v>
      </c>
      <c r="AJ388" s="78">
        <v>3</v>
      </c>
      <c r="AK388" s="84">
        <v>0.35</v>
      </c>
      <c r="AP388" s="78" t="b">
        <v>0</v>
      </c>
      <c r="AQ388" s="1">
        <f t="shared" si="34"/>
        <v>0</v>
      </c>
      <c r="AS388" s="78" t="b">
        <v>0</v>
      </c>
      <c r="AT388" s="1">
        <f t="shared" si="35"/>
        <v>0</v>
      </c>
      <c r="AV388" s="78" t="b">
        <v>0</v>
      </c>
      <c r="AW388" s="1">
        <f t="shared" si="36"/>
        <v>0</v>
      </c>
      <c r="AY388" s="78" t="b">
        <v>0</v>
      </c>
      <c r="AZ388" s="1">
        <f t="shared" si="37"/>
        <v>0</v>
      </c>
      <c r="BB388" s="78" t="b">
        <v>0</v>
      </c>
      <c r="BC388" s="1">
        <f t="shared" si="38"/>
        <v>0</v>
      </c>
      <c r="BE388" s="78" t="b">
        <v>0</v>
      </c>
      <c r="BF388" s="1">
        <f t="shared" si="39"/>
        <v>0</v>
      </c>
      <c r="BH388" s="78" t="b">
        <v>0</v>
      </c>
      <c r="BI388" s="1">
        <f t="shared" si="40"/>
        <v>0</v>
      </c>
    </row>
    <row r="389" spans="26:61" ht="12.75">
      <c r="Z389" s="78" t="s">
        <v>532</v>
      </c>
      <c r="AA389" s="78">
        <v>500</v>
      </c>
      <c r="AB389" s="78">
        <v>5</v>
      </c>
      <c r="AC389" s="78">
        <v>9</v>
      </c>
      <c r="AD389" s="78">
        <v>5</v>
      </c>
      <c r="AE389" s="84">
        <v>0.4</v>
      </c>
      <c r="AF389" s="78">
        <v>8</v>
      </c>
      <c r="AG389" s="84">
        <v>0.6</v>
      </c>
      <c r="AH389" s="78">
        <v>4</v>
      </c>
      <c r="AI389" s="84">
        <v>0.3</v>
      </c>
      <c r="AJ389" s="78">
        <v>4</v>
      </c>
      <c r="AK389" s="84">
        <v>0.5</v>
      </c>
      <c r="AP389" s="78" t="b">
        <v>0</v>
      </c>
      <c r="AQ389" s="1">
        <f t="shared" si="34"/>
        <v>0</v>
      </c>
      <c r="AS389" s="78" t="b">
        <v>0</v>
      </c>
      <c r="AT389" s="1">
        <f t="shared" si="35"/>
        <v>0</v>
      </c>
      <c r="AV389" s="78" t="b">
        <v>0</v>
      </c>
      <c r="AW389" s="1">
        <f t="shared" si="36"/>
        <v>0</v>
      </c>
      <c r="AY389" s="78" t="b">
        <v>0</v>
      </c>
      <c r="AZ389" s="1">
        <f t="shared" si="37"/>
        <v>0</v>
      </c>
      <c r="BB389" s="78" t="b">
        <v>0</v>
      </c>
      <c r="BC389" s="1">
        <f t="shared" si="38"/>
        <v>0</v>
      </c>
      <c r="BE389" s="78" t="b">
        <v>0</v>
      </c>
      <c r="BF389" s="1">
        <f t="shared" si="39"/>
        <v>0</v>
      </c>
      <c r="BH389" s="78" t="b">
        <v>0</v>
      </c>
      <c r="BI389" s="1">
        <f t="shared" si="40"/>
        <v>0</v>
      </c>
    </row>
    <row r="390" spans="26:61" ht="12.75">
      <c r="Z390" s="78" t="s">
        <v>533</v>
      </c>
      <c r="AA390" s="78">
        <v>700</v>
      </c>
      <c r="AB390" s="78">
        <v>5</v>
      </c>
      <c r="AC390" s="78">
        <v>10</v>
      </c>
      <c r="AD390" s="78">
        <v>7</v>
      </c>
      <c r="AE390" s="84">
        <v>0.4</v>
      </c>
      <c r="AF390" s="78">
        <v>8</v>
      </c>
      <c r="AG390" s="84">
        <v>0.7</v>
      </c>
      <c r="AH390" s="78">
        <v>5</v>
      </c>
      <c r="AI390" s="84">
        <v>0.35</v>
      </c>
      <c r="AJ390" s="78">
        <v>5</v>
      </c>
      <c r="AK390" s="84">
        <v>0.5</v>
      </c>
      <c r="AQ390" s="1">
        <f>IF(AQ379&lt;4,0,IF(AQ379=4,5,(AQ379-4)*10))</f>
        <v>0</v>
      </c>
      <c r="AT390" s="1">
        <f>IF(AT379&lt;4,0,IF(AT379=4,5,(AT379-4)*10))</f>
        <v>0</v>
      </c>
      <c r="AW390" s="1">
        <f>IF(AW379&lt;4,0,IF(AW379=4,5,(AW379-4)*10))</f>
        <v>0</v>
      </c>
      <c r="AZ390" s="1">
        <f>IF(AZ379&lt;4,0,IF(AZ379=4,5,(AZ379-4)*10))</f>
        <v>0</v>
      </c>
      <c r="BC390" s="1">
        <f>IF(BC379&lt;4,0,IF(BC379=4,5,(BC379-4)*10))</f>
        <v>0</v>
      </c>
      <c r="BF390" s="1">
        <f>IF(BF379&lt;4,0,IF(BF379=4,5,(BF379-4)*10))</f>
        <v>0</v>
      </c>
      <c r="BI390" s="1">
        <f>IF(BI379&lt;4,0,IF(BI379=4,5,(BI379-4)*10))</f>
        <v>0</v>
      </c>
    </row>
    <row r="391" spans="26:37" ht="12.75">
      <c r="Z391" s="78" t="s">
        <v>534</v>
      </c>
      <c r="AA391" s="78">
        <v>900</v>
      </c>
      <c r="AB391" s="78">
        <v>7</v>
      </c>
      <c r="AC391" s="78">
        <v>11</v>
      </c>
      <c r="AD391" s="78">
        <v>5</v>
      </c>
      <c r="AE391" s="84">
        <v>0.3</v>
      </c>
      <c r="AF391" s="78">
        <v>5</v>
      </c>
      <c r="AG391" s="84">
        <v>0.55</v>
      </c>
      <c r="AH391" s="78">
        <v>4</v>
      </c>
      <c r="AI391" s="84">
        <v>0.4</v>
      </c>
      <c r="AJ391" s="78">
        <v>5</v>
      </c>
      <c r="AK391" s="84">
        <v>0.55</v>
      </c>
    </row>
    <row r="392" spans="26:37" ht="12.75">
      <c r="Z392" s="78" t="s">
        <v>535</v>
      </c>
      <c r="AA392" s="78">
        <v>1500</v>
      </c>
      <c r="AB392" s="78">
        <v>10</v>
      </c>
      <c r="AC392" s="78">
        <v>13</v>
      </c>
      <c r="AD392" s="78">
        <v>12</v>
      </c>
      <c r="AE392" s="84">
        <v>0.4</v>
      </c>
      <c r="AF392" s="78">
        <v>16</v>
      </c>
      <c r="AG392" s="84">
        <v>0.7</v>
      </c>
      <c r="AH392" s="78">
        <v>12</v>
      </c>
      <c r="AI392" s="84">
        <v>0.6</v>
      </c>
      <c r="AJ392" s="78">
        <v>16</v>
      </c>
      <c r="AK392" s="84">
        <v>0.7</v>
      </c>
    </row>
    <row r="393" spans="26:37" ht="12.75">
      <c r="Z393" s="78" t="s">
        <v>536</v>
      </c>
      <c r="AA393" s="78">
        <v>2000</v>
      </c>
      <c r="AB393" s="78">
        <v>10</v>
      </c>
      <c r="AC393" s="78">
        <v>15</v>
      </c>
      <c r="AD393" s="78">
        <v>15</v>
      </c>
      <c r="AE393" s="84">
        <v>0.55</v>
      </c>
      <c r="AF393" s="78">
        <v>17</v>
      </c>
      <c r="AG393" s="84">
        <v>0.75</v>
      </c>
      <c r="AH393" s="78">
        <v>15</v>
      </c>
      <c r="AI393" s="84">
        <v>0.65</v>
      </c>
      <c r="AJ393" s="78">
        <v>15</v>
      </c>
      <c r="AK393" s="84">
        <v>0.6</v>
      </c>
    </row>
    <row r="394" ht="12.75">
      <c r="Z394" s="78" t="s">
        <v>1135</v>
      </c>
    </row>
    <row r="395" spans="26:37" ht="12.75">
      <c r="Z395" s="78">
        <f>IF(Разное!BD92="","",Разное!BD92)</f>
      </c>
      <c r="AC395" s="78">
        <f>Разное!BD96</f>
        <v>0</v>
      </c>
      <c r="AD395" s="78">
        <f>Разное!BH96</f>
        <v>0</v>
      </c>
      <c r="AE395" s="84">
        <f>Разное!BJ96</f>
        <v>0</v>
      </c>
      <c r="AF395" s="78">
        <f>Разное!BH98</f>
        <v>0</v>
      </c>
      <c r="AG395" s="84">
        <f>Разное!BJ98</f>
        <v>0</v>
      </c>
      <c r="AH395" s="78">
        <f>Разное!BH100</f>
        <v>0</v>
      </c>
      <c r="AI395" s="84">
        <f>Разное!BJ100</f>
        <v>0</v>
      </c>
      <c r="AJ395" s="78">
        <f>Разное!BH102</f>
        <v>0</v>
      </c>
      <c r="AK395" s="84">
        <f>Разное!BJ102</f>
        <v>0</v>
      </c>
    </row>
    <row r="396" spans="26:37" ht="12.75">
      <c r="Z396" s="78">
        <f>IF(Разное!BN92="","",Разное!BN92)</f>
      </c>
      <c r="AC396" s="78">
        <f>Разное!BU96</f>
        <v>0</v>
      </c>
      <c r="AD396" s="78">
        <f>Разное!BN96</f>
        <v>0</v>
      </c>
      <c r="AE396" s="84">
        <f>Разное!BP96</f>
        <v>0</v>
      </c>
      <c r="AF396" s="78">
        <f>Разное!BN98</f>
        <v>0</v>
      </c>
      <c r="AG396" s="84">
        <f>Разное!BP98</f>
        <v>0</v>
      </c>
      <c r="AH396" s="78">
        <f>Разное!BN100</f>
        <v>0</v>
      </c>
      <c r="AI396" s="84">
        <f>Разное!BP100</f>
        <v>0</v>
      </c>
      <c r="AJ396" s="78">
        <f>Разное!BN102</f>
        <v>0</v>
      </c>
      <c r="AK396" s="84">
        <f>Разное!BP102</f>
        <v>0</v>
      </c>
    </row>
    <row r="397" spans="26:29" ht="15.75">
      <c r="Z397" s="100" t="s">
        <v>537</v>
      </c>
      <c r="AA397" s="78" t="s">
        <v>859</v>
      </c>
      <c r="AB397" s="78" t="s">
        <v>860</v>
      </c>
      <c r="AC397" s="78" t="s">
        <v>763</v>
      </c>
    </row>
    <row r="398" ht="12.75">
      <c r="Y398" s="78">
        <v>1</v>
      </c>
    </row>
    <row r="399" spans="25:28" ht="12.75">
      <c r="Y399" s="78">
        <v>1</v>
      </c>
      <c r="Z399" s="78" t="s">
        <v>538</v>
      </c>
      <c r="AA399" s="78">
        <v>10</v>
      </c>
      <c r="AB399" s="78">
        <v>1</v>
      </c>
    </row>
    <row r="400" spans="25:28" ht="12.75">
      <c r="Y400" s="78">
        <v>1</v>
      </c>
      <c r="Z400" s="78" t="s">
        <v>539</v>
      </c>
      <c r="AA400" s="78">
        <v>10</v>
      </c>
      <c r="AB400" s="78">
        <v>1</v>
      </c>
    </row>
    <row r="401" spans="25:28" ht="12.75">
      <c r="Y401" s="78">
        <v>1</v>
      </c>
      <c r="Z401" s="78" t="s">
        <v>540</v>
      </c>
      <c r="AA401" s="78">
        <v>15</v>
      </c>
      <c r="AB401" s="78">
        <v>1</v>
      </c>
    </row>
    <row r="402" spans="25:28" ht="12.75">
      <c r="Y402" s="78">
        <v>1</v>
      </c>
      <c r="Z402" s="78" t="s">
        <v>541</v>
      </c>
      <c r="AA402" s="78">
        <v>25</v>
      </c>
      <c r="AB402" s="78">
        <v>10</v>
      </c>
    </row>
    <row r="403" spans="25:28" ht="12.75">
      <c r="Y403" s="78">
        <v>1</v>
      </c>
      <c r="Z403" s="78" t="s">
        <v>364</v>
      </c>
      <c r="AA403" s="78">
        <v>30</v>
      </c>
      <c r="AB403" s="78">
        <v>15</v>
      </c>
    </row>
    <row r="404" spans="25:28" ht="12.75">
      <c r="Y404" s="78">
        <v>1</v>
      </c>
      <c r="Z404" s="78" t="s">
        <v>542</v>
      </c>
      <c r="AA404" s="78">
        <v>40</v>
      </c>
      <c r="AB404" s="78">
        <v>4</v>
      </c>
    </row>
    <row r="405" spans="25:28" ht="12.75">
      <c r="Y405" s="78">
        <v>1</v>
      </c>
      <c r="Z405" s="78" t="s">
        <v>543</v>
      </c>
      <c r="AA405" s="78">
        <v>40</v>
      </c>
      <c r="AB405" s="78">
        <v>1</v>
      </c>
    </row>
    <row r="406" spans="25:28" ht="12.75">
      <c r="Y406" s="78">
        <v>1</v>
      </c>
      <c r="Z406" s="78" t="s">
        <v>544</v>
      </c>
      <c r="AA406" s="78">
        <v>50</v>
      </c>
      <c r="AB406" s="78">
        <v>15</v>
      </c>
    </row>
    <row r="407" spans="25:28" ht="12.75">
      <c r="Y407" s="78">
        <v>1</v>
      </c>
      <c r="Z407" s="78" t="s">
        <v>545</v>
      </c>
      <c r="AA407" s="78">
        <v>80</v>
      </c>
      <c r="AB407" s="78">
        <v>5</v>
      </c>
    </row>
    <row r="408" spans="25:28" ht="12.75">
      <c r="Y408" s="78">
        <v>1</v>
      </c>
      <c r="Z408" s="78" t="s">
        <v>375</v>
      </c>
      <c r="AA408" s="78">
        <v>140</v>
      </c>
      <c r="AB408" s="78">
        <v>1</v>
      </c>
    </row>
    <row r="409" spans="25:28" ht="12.75">
      <c r="Y409" s="78">
        <v>1</v>
      </c>
      <c r="Z409" s="78" t="s">
        <v>546</v>
      </c>
      <c r="AA409" s="78">
        <v>150</v>
      </c>
      <c r="AB409" s="78">
        <v>3</v>
      </c>
    </row>
    <row r="410" spans="25:28" ht="12.75">
      <c r="Y410" s="78">
        <v>1</v>
      </c>
      <c r="Z410" s="78" t="s">
        <v>547</v>
      </c>
      <c r="AA410" s="78">
        <v>150</v>
      </c>
      <c r="AB410" s="78">
        <v>1</v>
      </c>
    </row>
    <row r="411" spans="25:28" ht="12.75">
      <c r="Y411" s="78">
        <v>1</v>
      </c>
      <c r="Z411" s="78" t="s">
        <v>548</v>
      </c>
      <c r="AA411" s="78">
        <v>200</v>
      </c>
      <c r="AB411" s="78">
        <v>5</v>
      </c>
    </row>
    <row r="412" spans="25:28" ht="12.75">
      <c r="Y412" s="78">
        <v>1</v>
      </c>
      <c r="Z412" s="78" t="s">
        <v>549</v>
      </c>
      <c r="AA412" s="78">
        <v>250</v>
      </c>
      <c r="AB412" s="78">
        <v>3</v>
      </c>
    </row>
    <row r="413" spans="25:28" ht="12.75">
      <c r="Y413" s="78">
        <v>1</v>
      </c>
      <c r="Z413" s="78" t="s">
        <v>550</v>
      </c>
      <c r="AA413" s="78">
        <v>275</v>
      </c>
      <c r="AB413" s="78">
        <v>5</v>
      </c>
    </row>
    <row r="414" spans="25:28" ht="12.75">
      <c r="Y414" s="78">
        <v>1</v>
      </c>
      <c r="Z414" s="78" t="s">
        <v>1197</v>
      </c>
      <c r="AA414" s="78">
        <v>300</v>
      </c>
      <c r="AB414" s="78">
        <v>4</v>
      </c>
    </row>
    <row r="415" spans="25:28" ht="12.75">
      <c r="Y415" s="78">
        <v>1</v>
      </c>
      <c r="Z415" s="78" t="s">
        <v>551</v>
      </c>
      <c r="AA415" s="78">
        <v>300</v>
      </c>
      <c r="AB415" s="78">
        <v>5</v>
      </c>
    </row>
    <row r="416" spans="25:28" ht="12.75">
      <c r="Y416" s="78">
        <v>1</v>
      </c>
      <c r="Z416" s="78" t="s">
        <v>552</v>
      </c>
      <c r="AA416" s="78">
        <v>400</v>
      </c>
      <c r="AB416" s="78">
        <v>2</v>
      </c>
    </row>
    <row r="417" spans="25:28" ht="12.75">
      <c r="Y417" s="78">
        <v>1</v>
      </c>
      <c r="Z417" s="78" t="s">
        <v>553</v>
      </c>
      <c r="AA417" s="78">
        <v>450</v>
      </c>
      <c r="AB417" s="78">
        <v>10</v>
      </c>
    </row>
    <row r="418" spans="25:28" ht="12.75">
      <c r="Y418" s="78">
        <v>1</v>
      </c>
      <c r="Z418" s="78" t="s">
        <v>554</v>
      </c>
      <c r="AA418" s="78">
        <v>500</v>
      </c>
      <c r="AB418" s="78">
        <v>5</v>
      </c>
    </row>
    <row r="419" spans="25:28" ht="12.75">
      <c r="Y419" s="78">
        <v>1</v>
      </c>
      <c r="Z419" s="78" t="s">
        <v>555</v>
      </c>
      <c r="AA419" s="78">
        <v>500</v>
      </c>
      <c r="AB419" s="78">
        <v>20</v>
      </c>
    </row>
    <row r="420" spans="25:29" ht="12.75">
      <c r="Y420" s="78">
        <v>1</v>
      </c>
      <c r="Z420" s="78" t="s">
        <v>858</v>
      </c>
      <c r="AA420" s="78">
        <v>1000</v>
      </c>
      <c r="AB420" s="78">
        <v>10</v>
      </c>
      <c r="AC420" s="78" t="s">
        <v>866</v>
      </c>
    </row>
    <row r="421" spans="25:29" ht="12.75">
      <c r="Y421" s="78">
        <v>1</v>
      </c>
      <c r="Z421" s="78" t="s">
        <v>857</v>
      </c>
      <c r="AA421" s="78">
        <v>1500</v>
      </c>
      <c r="AB421" s="78">
        <v>10</v>
      </c>
      <c r="AC421" s="78" t="s">
        <v>867</v>
      </c>
    </row>
    <row r="422" spans="25:26" ht="12.75">
      <c r="Y422" s="78">
        <v>1</v>
      </c>
      <c r="Z422" s="78" t="s">
        <v>1065</v>
      </c>
    </row>
    <row r="423" spans="25:28" ht="12.75">
      <c r="Y423" s="78">
        <v>1</v>
      </c>
      <c r="Z423" s="78" t="s">
        <v>556</v>
      </c>
      <c r="AA423" s="78">
        <v>25</v>
      </c>
      <c r="AB423" s="78">
        <v>1</v>
      </c>
    </row>
    <row r="424" spans="25:28" ht="12.75">
      <c r="Y424" s="78">
        <v>1</v>
      </c>
      <c r="Z424" s="78" t="s">
        <v>557</v>
      </c>
      <c r="AA424" s="78">
        <v>50</v>
      </c>
      <c r="AB424" s="78">
        <v>1</v>
      </c>
    </row>
    <row r="425" spans="25:28" ht="12.75">
      <c r="Y425" s="78">
        <v>1</v>
      </c>
      <c r="Z425" s="78" t="s">
        <v>558</v>
      </c>
      <c r="AA425" s="78">
        <v>150</v>
      </c>
      <c r="AB425" s="78">
        <v>1</v>
      </c>
    </row>
    <row r="426" spans="25:28" ht="12.75">
      <c r="Y426" s="78">
        <v>1</v>
      </c>
      <c r="Z426" s="78" t="s">
        <v>559</v>
      </c>
      <c r="AA426" s="78">
        <v>50</v>
      </c>
      <c r="AB426" s="78">
        <v>1</v>
      </c>
    </row>
    <row r="427" spans="25:28" ht="12.75">
      <c r="Y427" s="78">
        <v>1</v>
      </c>
      <c r="Z427" s="78" t="s">
        <v>560</v>
      </c>
      <c r="AA427" s="78">
        <v>150</v>
      </c>
      <c r="AB427" s="78">
        <v>1</v>
      </c>
    </row>
    <row r="428" spans="25:28" ht="12.75">
      <c r="Y428" s="78">
        <v>1</v>
      </c>
      <c r="Z428" s="78" t="s">
        <v>561</v>
      </c>
      <c r="AA428" s="78">
        <v>200</v>
      </c>
      <c r="AB428" s="78">
        <v>1</v>
      </c>
    </row>
    <row r="429" spans="25:28" ht="12.75">
      <c r="Y429" s="78">
        <v>1</v>
      </c>
      <c r="Z429" s="78" t="s">
        <v>562</v>
      </c>
      <c r="AA429" s="78">
        <v>200</v>
      </c>
      <c r="AB429" s="78">
        <v>1</v>
      </c>
    </row>
    <row r="430" spans="25:28" ht="12.75">
      <c r="Y430" s="78">
        <v>1</v>
      </c>
      <c r="Z430" s="78" t="s">
        <v>563</v>
      </c>
      <c r="AA430" s="78">
        <v>280</v>
      </c>
      <c r="AB430" s="78">
        <v>1</v>
      </c>
    </row>
    <row r="431" spans="25:28" ht="12.75">
      <c r="Y431" s="78">
        <v>1</v>
      </c>
      <c r="Z431" s="78" t="s">
        <v>564</v>
      </c>
      <c r="AA431" s="78">
        <v>350</v>
      </c>
      <c r="AB431" s="78">
        <v>1</v>
      </c>
    </row>
    <row r="432" spans="25:28" ht="12.75">
      <c r="Y432" s="78">
        <v>1</v>
      </c>
      <c r="Z432" s="78" t="s">
        <v>565</v>
      </c>
      <c r="AA432" s="78">
        <v>400</v>
      </c>
      <c r="AB432" s="78">
        <v>1</v>
      </c>
    </row>
    <row r="433" spans="25:28" ht="12.75">
      <c r="Y433" s="78">
        <v>1</v>
      </c>
      <c r="Z433" s="78" t="s">
        <v>566</v>
      </c>
      <c r="AA433" s="78">
        <v>500</v>
      </c>
      <c r="AB433" s="78">
        <v>1</v>
      </c>
    </row>
    <row r="434" spans="25:28" ht="12.75">
      <c r="Y434" s="78">
        <v>1</v>
      </c>
      <c r="Z434" s="78" t="s">
        <v>567</v>
      </c>
      <c r="AA434" s="78">
        <v>600</v>
      </c>
      <c r="AB434" s="78">
        <v>1</v>
      </c>
    </row>
    <row r="435" spans="25:28" ht="12.75">
      <c r="Y435" s="78">
        <v>1</v>
      </c>
      <c r="Z435" s="78" t="s">
        <v>568</v>
      </c>
      <c r="AA435" s="78">
        <v>700</v>
      </c>
      <c r="AB435" s="78">
        <v>1</v>
      </c>
    </row>
    <row r="436" spans="25:28" ht="12.75">
      <c r="Y436" s="78">
        <v>1</v>
      </c>
      <c r="Z436" s="78" t="s">
        <v>569</v>
      </c>
      <c r="AA436" s="78">
        <v>1000</v>
      </c>
      <c r="AB436" s="78">
        <v>1</v>
      </c>
    </row>
    <row r="437" spans="25:28" ht="12.75">
      <c r="Y437" s="78">
        <v>1</v>
      </c>
      <c r="Z437" s="78" t="s">
        <v>570</v>
      </c>
      <c r="AA437" s="78">
        <v>1500</v>
      </c>
      <c r="AB437" s="78">
        <v>1</v>
      </c>
    </row>
    <row r="438" spans="25:28" ht="12.75">
      <c r="Y438" s="78">
        <v>1</v>
      </c>
      <c r="Z438" s="78" t="s">
        <v>571</v>
      </c>
      <c r="AA438" s="78">
        <v>2000</v>
      </c>
      <c r="AB438" s="78">
        <v>1</v>
      </c>
    </row>
    <row r="439" spans="25:26" ht="12.75">
      <c r="Y439" s="78">
        <v>1</v>
      </c>
      <c r="Z439" s="87" t="s">
        <v>1066</v>
      </c>
    </row>
    <row r="440" spans="25:28" ht="12.75">
      <c r="Y440" s="78">
        <v>1</v>
      </c>
      <c r="Z440" s="78" t="s">
        <v>910</v>
      </c>
      <c r="AA440" s="78">
        <v>1000</v>
      </c>
      <c r="AB440" s="78">
        <v>5</v>
      </c>
    </row>
    <row r="441" spans="25:28" ht="12.75">
      <c r="Y441" s="78">
        <v>1</v>
      </c>
      <c r="Z441" s="78" t="s">
        <v>911</v>
      </c>
      <c r="AA441" s="78">
        <v>1000</v>
      </c>
      <c r="AB441" s="78">
        <v>5</v>
      </c>
    </row>
    <row r="442" spans="25:28" ht="12.75">
      <c r="Y442" s="78">
        <v>1</v>
      </c>
      <c r="Z442" s="78" t="s">
        <v>912</v>
      </c>
      <c r="AA442" s="78">
        <v>1000</v>
      </c>
      <c r="AB442" s="78">
        <v>5</v>
      </c>
    </row>
    <row r="443" spans="25:28" ht="12.75">
      <c r="Y443" s="78">
        <v>1</v>
      </c>
      <c r="Z443" s="78" t="s">
        <v>913</v>
      </c>
      <c r="AA443" s="78">
        <v>100</v>
      </c>
      <c r="AB443" s="78">
        <v>10</v>
      </c>
    </row>
    <row r="444" spans="25:28" ht="12.75">
      <c r="Y444" s="78">
        <v>1</v>
      </c>
      <c r="Z444" s="78" t="s">
        <v>914</v>
      </c>
      <c r="AA444" s="78">
        <v>300</v>
      </c>
      <c r="AB444" s="78">
        <v>20</v>
      </c>
    </row>
    <row r="445" spans="25:28" ht="12.75">
      <c r="Y445" s="78">
        <v>1</v>
      </c>
      <c r="Z445" s="78" t="s">
        <v>915</v>
      </c>
      <c r="AA445" s="78">
        <v>1000</v>
      </c>
      <c r="AB445" s="78">
        <v>8</v>
      </c>
    </row>
    <row r="446" spans="25:28" ht="12.75">
      <c r="Y446" s="78">
        <v>1</v>
      </c>
      <c r="Z446" s="78" t="s">
        <v>916</v>
      </c>
      <c r="AA446" s="78">
        <v>2500</v>
      </c>
      <c r="AB446" s="78">
        <v>10</v>
      </c>
    </row>
    <row r="447" spans="25:26" ht="12.75">
      <c r="Y447" s="78">
        <v>1</v>
      </c>
      <c r="Z447" s="87" t="s">
        <v>1067</v>
      </c>
    </row>
    <row r="448" spans="25:28" ht="12.75">
      <c r="Y448" s="78">
        <v>1</v>
      </c>
      <c r="Z448" s="78" t="s">
        <v>901</v>
      </c>
      <c r="AA448" s="78">
        <v>500</v>
      </c>
      <c r="AB448" s="78">
        <v>2</v>
      </c>
    </row>
    <row r="449" spans="25:28" ht="12.75">
      <c r="Y449" s="78">
        <v>1</v>
      </c>
      <c r="Z449" s="78" t="s">
        <v>902</v>
      </c>
      <c r="AA449" s="78">
        <v>500</v>
      </c>
      <c r="AB449" s="78">
        <v>2</v>
      </c>
    </row>
    <row r="450" spans="25:28" ht="12.75">
      <c r="Y450" s="78">
        <v>1</v>
      </c>
      <c r="Z450" s="78" t="s">
        <v>903</v>
      </c>
      <c r="AA450" s="78">
        <v>500</v>
      </c>
      <c r="AB450" s="78">
        <v>1</v>
      </c>
    </row>
    <row r="451" spans="25:28" ht="12.75">
      <c r="Y451" s="78">
        <v>1</v>
      </c>
      <c r="Z451" s="78" t="s">
        <v>904</v>
      </c>
      <c r="AA451" s="78">
        <v>1000</v>
      </c>
      <c r="AB451" s="78">
        <v>1</v>
      </c>
    </row>
    <row r="452" spans="25:28" ht="12.75">
      <c r="Y452" s="78">
        <v>1</v>
      </c>
      <c r="Z452" s="78" t="s">
        <v>905</v>
      </c>
      <c r="AA452" s="78">
        <v>2000</v>
      </c>
      <c r="AB452" s="78">
        <v>1</v>
      </c>
    </row>
    <row r="453" spans="25:28" ht="12.75">
      <c r="Y453" s="78">
        <v>1</v>
      </c>
      <c r="Z453" s="78" t="s">
        <v>906</v>
      </c>
      <c r="AA453" s="78">
        <v>3000</v>
      </c>
      <c r="AB453" s="78">
        <v>1</v>
      </c>
    </row>
    <row r="454" spans="26:28" ht="12.75">
      <c r="Z454" s="78" t="s">
        <v>907</v>
      </c>
      <c r="AA454" s="78">
        <v>3000</v>
      </c>
      <c r="AB454" s="78">
        <v>1</v>
      </c>
    </row>
    <row r="455" spans="26:28" ht="12.75">
      <c r="Z455" s="78" t="s">
        <v>908</v>
      </c>
      <c r="AA455" s="78">
        <v>3000</v>
      </c>
      <c r="AB455" s="78">
        <v>1</v>
      </c>
    </row>
    <row r="456" spans="26:28" ht="12.75">
      <c r="Z456" s="78" t="s">
        <v>909</v>
      </c>
      <c r="AA456" s="78">
        <v>3000</v>
      </c>
      <c r="AB456" s="78">
        <v>2</v>
      </c>
    </row>
    <row r="457" ht="12.75">
      <c r="Z457" s="87" t="s">
        <v>1068</v>
      </c>
    </row>
    <row r="458" spans="26:28" ht="12.75">
      <c r="Z458" s="78" t="s">
        <v>896</v>
      </c>
      <c r="AA458" s="78">
        <v>2000</v>
      </c>
      <c r="AB458" s="78">
        <v>20</v>
      </c>
    </row>
    <row r="459" spans="26:28" ht="12.75">
      <c r="Z459" s="78" t="s">
        <v>897</v>
      </c>
      <c r="AA459" s="78">
        <v>5000</v>
      </c>
      <c r="AB459" s="78">
        <v>10</v>
      </c>
    </row>
    <row r="460" spans="26:28" ht="12.75">
      <c r="Z460" s="78" t="s">
        <v>898</v>
      </c>
      <c r="AA460" s="78">
        <v>9000</v>
      </c>
      <c r="AB460" s="78">
        <v>200</v>
      </c>
    </row>
    <row r="461" spans="26:28" ht="12.75">
      <c r="Z461" s="78" t="s">
        <v>899</v>
      </c>
      <c r="AA461" s="78">
        <v>10000</v>
      </c>
      <c r="AB461" s="78">
        <v>10</v>
      </c>
    </row>
    <row r="462" spans="26:28" ht="12.75">
      <c r="Z462" s="78" t="s">
        <v>900</v>
      </c>
      <c r="AA462" s="78">
        <v>25000</v>
      </c>
      <c r="AB462" s="78">
        <v>125</v>
      </c>
    </row>
    <row r="482" spans="25:46" ht="15.75">
      <c r="Y482" s="78">
        <v>1</v>
      </c>
      <c r="Z482" s="100" t="s">
        <v>572</v>
      </c>
      <c r="AA482" s="78" t="s">
        <v>868</v>
      </c>
      <c r="AB482" s="78" t="s">
        <v>869</v>
      </c>
      <c r="AC482" s="78" t="s">
        <v>870</v>
      </c>
      <c r="AD482" s="78" t="s">
        <v>871</v>
      </c>
      <c r="AE482" s="78" t="s">
        <v>872</v>
      </c>
      <c r="AF482" s="78" t="s">
        <v>873</v>
      </c>
      <c r="AG482" s="78" t="s">
        <v>874</v>
      </c>
      <c r="AH482" s="78" t="s">
        <v>315</v>
      </c>
      <c r="AI482" s="78" t="s">
        <v>316</v>
      </c>
      <c r="AJ482" s="78" t="s">
        <v>317</v>
      </c>
      <c r="AK482" s="78" t="s">
        <v>318</v>
      </c>
      <c r="AL482" s="78" t="s">
        <v>319</v>
      </c>
      <c r="AM482" s="78" t="s">
        <v>877</v>
      </c>
      <c r="AN482" s="78" t="s">
        <v>335</v>
      </c>
      <c r="AO482" s="78" t="s">
        <v>861</v>
      </c>
      <c r="AP482" s="78" t="s">
        <v>337</v>
      </c>
      <c r="AQ482" s="78" t="s">
        <v>336</v>
      </c>
      <c r="AR482" s="78" t="s">
        <v>332</v>
      </c>
      <c r="AS482" s="78" t="s">
        <v>878</v>
      </c>
      <c r="AT482" s="78" t="s">
        <v>763</v>
      </c>
    </row>
    <row r="483" spans="25:26" ht="12.75">
      <c r="Y483" s="78">
        <v>1</v>
      </c>
      <c r="Z483" s="78" t="s">
        <v>151</v>
      </c>
    </row>
    <row r="484" spans="25:45" ht="12.75">
      <c r="Y484" s="78">
        <v>1</v>
      </c>
      <c r="Z484" s="78" t="s">
        <v>573</v>
      </c>
      <c r="AA484" s="78">
        <v>160</v>
      </c>
      <c r="AB484" s="78">
        <v>60</v>
      </c>
      <c r="AC484" s="78">
        <v>50</v>
      </c>
      <c r="AD484" s="78">
        <v>5</v>
      </c>
      <c r="AE484" s="78">
        <v>480</v>
      </c>
      <c r="AF484" s="78">
        <v>5</v>
      </c>
      <c r="AG484" s="78">
        <v>2500</v>
      </c>
      <c r="AH484" s="78">
        <v>175</v>
      </c>
      <c r="AI484" s="78">
        <v>50</v>
      </c>
      <c r="AJ484" s="78">
        <v>40</v>
      </c>
      <c r="AK484" s="78">
        <v>40</v>
      </c>
      <c r="AL484" s="78">
        <v>10</v>
      </c>
      <c r="AM484" s="78">
        <v>4</v>
      </c>
      <c r="AN484" s="78">
        <v>10</v>
      </c>
      <c r="AO484" s="78">
        <v>0</v>
      </c>
      <c r="AP484" s="78">
        <v>0</v>
      </c>
      <c r="AQ484" s="78">
        <v>0</v>
      </c>
      <c r="AR484" s="78">
        <v>10</v>
      </c>
      <c r="AS484" s="103" t="s">
        <v>950</v>
      </c>
    </row>
    <row r="485" spans="25:45" ht="12.75">
      <c r="Y485" s="78">
        <v>1</v>
      </c>
      <c r="Z485" s="78" t="s">
        <v>574</v>
      </c>
      <c r="AA485" s="78">
        <v>140</v>
      </c>
      <c r="AB485" s="78">
        <v>40</v>
      </c>
      <c r="AC485" s="78">
        <v>50</v>
      </c>
      <c r="AD485" s="78">
        <v>7</v>
      </c>
      <c r="AE485" s="78">
        <v>300</v>
      </c>
      <c r="AF485" s="78">
        <v>5</v>
      </c>
      <c r="AG485" s="78">
        <v>4000</v>
      </c>
      <c r="AH485" s="78">
        <v>250</v>
      </c>
      <c r="AI485" s="78">
        <v>70</v>
      </c>
      <c r="AJ485" s="78">
        <v>40</v>
      </c>
      <c r="AK485" s="78">
        <v>40</v>
      </c>
      <c r="AL485" s="78">
        <v>15</v>
      </c>
      <c r="AM485" s="78">
        <v>4</v>
      </c>
      <c r="AN485" s="78">
        <v>10</v>
      </c>
      <c r="AO485" s="78">
        <v>5</v>
      </c>
      <c r="AP485" s="78">
        <v>0</v>
      </c>
      <c r="AQ485" s="78">
        <v>5</v>
      </c>
      <c r="AR485" s="78">
        <v>10</v>
      </c>
      <c r="AS485" s="103" t="s">
        <v>951</v>
      </c>
    </row>
    <row r="486" spans="25:45" ht="12.75">
      <c r="Y486" s="78">
        <v>1</v>
      </c>
      <c r="Z486" s="78" t="s">
        <v>575</v>
      </c>
      <c r="AA486" s="78">
        <v>200</v>
      </c>
      <c r="AB486" s="78">
        <v>40</v>
      </c>
      <c r="AC486" s="78">
        <v>50</v>
      </c>
      <c r="AD486" s="78">
        <v>8</v>
      </c>
      <c r="AE486" s="78">
        <v>300</v>
      </c>
      <c r="AF486" s="78">
        <v>4</v>
      </c>
      <c r="AG486" s="78">
        <v>2500</v>
      </c>
      <c r="AH486" s="78">
        <v>200</v>
      </c>
      <c r="AI486" s="78">
        <v>100</v>
      </c>
      <c r="AJ486" s="78">
        <v>40</v>
      </c>
      <c r="AK486" s="78">
        <v>40</v>
      </c>
      <c r="AL486" s="78">
        <v>10</v>
      </c>
      <c r="AM486" s="78">
        <v>4</v>
      </c>
      <c r="AN486" s="78">
        <v>17</v>
      </c>
      <c r="AO486" s="78">
        <v>5</v>
      </c>
      <c r="AP486" s="78">
        <v>5</v>
      </c>
      <c r="AQ486" s="78">
        <v>5</v>
      </c>
      <c r="AR486" s="78">
        <v>10</v>
      </c>
      <c r="AS486" s="103" t="s">
        <v>950</v>
      </c>
    </row>
    <row r="487" spans="25:45" ht="12.75">
      <c r="Y487" s="78">
        <v>1</v>
      </c>
      <c r="Z487" s="78" t="s">
        <v>576</v>
      </c>
      <c r="AA487" s="78">
        <v>130</v>
      </c>
      <c r="AB487" s="78">
        <v>80</v>
      </c>
      <c r="AC487" s="78">
        <v>60</v>
      </c>
      <c r="AD487" s="78">
        <v>4</v>
      </c>
      <c r="AE487" s="78">
        <v>100</v>
      </c>
      <c r="AF487" s="78">
        <v>1</v>
      </c>
      <c r="AG487" s="78">
        <v>500</v>
      </c>
      <c r="AH487" s="78">
        <v>50</v>
      </c>
      <c r="AI487" s="78">
        <v>50</v>
      </c>
      <c r="AJ487" s="78">
        <v>30</v>
      </c>
      <c r="AK487" s="78">
        <v>20</v>
      </c>
      <c r="AL487" s="78">
        <v>10</v>
      </c>
      <c r="AM487" s="78">
        <v>4</v>
      </c>
      <c r="AN487" s="78">
        <v>5</v>
      </c>
      <c r="AO487" s="78">
        <v>0</v>
      </c>
      <c r="AP487" s="78">
        <v>0</v>
      </c>
      <c r="AQ487" s="78">
        <v>0</v>
      </c>
      <c r="AR487" s="78">
        <v>0</v>
      </c>
      <c r="AS487" s="103" t="s">
        <v>952</v>
      </c>
    </row>
    <row r="488" spans="25:45" ht="12.75">
      <c r="Y488" s="78">
        <v>1</v>
      </c>
      <c r="Z488" s="78" t="s">
        <v>577</v>
      </c>
      <c r="AA488" s="78">
        <v>120</v>
      </c>
      <c r="AB488" s="78">
        <v>50</v>
      </c>
      <c r="AC488" s="78">
        <v>40</v>
      </c>
      <c r="AD488" s="78">
        <v>6</v>
      </c>
      <c r="AE488" s="78">
        <v>400</v>
      </c>
      <c r="AF488" s="78" t="s">
        <v>879</v>
      </c>
      <c r="AG488" s="78">
        <v>3000</v>
      </c>
      <c r="AH488" s="78">
        <v>190</v>
      </c>
      <c r="AI488" s="78">
        <v>60</v>
      </c>
      <c r="AJ488" s="78">
        <v>40</v>
      </c>
      <c r="AK488" s="78">
        <v>40</v>
      </c>
      <c r="AL488" s="78">
        <v>15</v>
      </c>
      <c r="AM488" s="78">
        <v>4</v>
      </c>
      <c r="AN488" s="78">
        <v>10</v>
      </c>
      <c r="AO488" s="78">
        <v>5</v>
      </c>
      <c r="AP488" s="78">
        <v>0</v>
      </c>
      <c r="AQ488" s="78">
        <v>5</v>
      </c>
      <c r="AR488" s="78">
        <v>10</v>
      </c>
      <c r="AS488" s="103" t="s">
        <v>950</v>
      </c>
    </row>
    <row r="489" spans="26:45" ht="12.75">
      <c r="Z489" s="78" t="s">
        <v>578</v>
      </c>
      <c r="AA489" s="78">
        <v>130</v>
      </c>
      <c r="AB489" s="78">
        <v>30</v>
      </c>
      <c r="AC489" s="78">
        <v>30</v>
      </c>
      <c r="AD489" s="78">
        <v>15</v>
      </c>
      <c r="AE489" s="78">
        <v>320</v>
      </c>
      <c r="AF489" s="78" t="s">
        <v>1075</v>
      </c>
      <c r="AG489" s="78">
        <v>10000</v>
      </c>
      <c r="AH489" s="78">
        <v>300</v>
      </c>
      <c r="AI489" s="78">
        <v>100</v>
      </c>
      <c r="AJ489" s="78">
        <v>40</v>
      </c>
      <c r="AK489" s="78">
        <v>40</v>
      </c>
      <c r="AL489" s="78">
        <v>25</v>
      </c>
      <c r="AM489" s="78">
        <v>6</v>
      </c>
      <c r="AN489" s="78">
        <v>30</v>
      </c>
      <c r="AO489" s="78">
        <v>10</v>
      </c>
      <c r="AP489" s="78">
        <v>7</v>
      </c>
      <c r="AQ489" s="78">
        <v>10</v>
      </c>
      <c r="AR489" s="78">
        <v>28</v>
      </c>
      <c r="AS489" s="103" t="s">
        <v>951</v>
      </c>
    </row>
    <row r="490" spans="26:45" ht="12.75">
      <c r="Z490" s="78" t="s">
        <v>579</v>
      </c>
      <c r="AA490" s="78">
        <v>120</v>
      </c>
      <c r="AB490" s="78">
        <v>40</v>
      </c>
      <c r="AC490" s="78">
        <v>40</v>
      </c>
      <c r="AD490" s="78">
        <v>15</v>
      </c>
      <c r="AE490" s="78">
        <v>320</v>
      </c>
      <c r="AF490" s="102">
        <v>3</v>
      </c>
      <c r="AG490" s="78">
        <v>50000</v>
      </c>
      <c r="AH490" s="78">
        <v>300</v>
      </c>
      <c r="AI490" s="78">
        <v>130</v>
      </c>
      <c r="AJ490" s="78">
        <v>50</v>
      </c>
      <c r="AK490" s="78">
        <v>50</v>
      </c>
      <c r="AL490" s="78">
        <v>30</v>
      </c>
      <c r="AM490" s="78">
        <v>10</v>
      </c>
      <c r="AN490" s="78">
        <v>45</v>
      </c>
      <c r="AO490" s="78">
        <v>15</v>
      </c>
      <c r="AP490" s="78">
        <v>30</v>
      </c>
      <c r="AQ490" s="78">
        <v>15</v>
      </c>
      <c r="AR490" s="78">
        <v>30</v>
      </c>
      <c r="AS490" s="103" t="s">
        <v>953</v>
      </c>
    </row>
    <row r="491" spans="26:46" ht="12.75">
      <c r="Z491" s="78" t="s">
        <v>580</v>
      </c>
      <c r="AA491" s="78">
        <v>100</v>
      </c>
      <c r="AB491" s="78">
        <v>30</v>
      </c>
      <c r="AC491" s="78">
        <v>20</v>
      </c>
      <c r="AD491" s="78">
        <v>20</v>
      </c>
      <c r="AE491" s="78">
        <v>200</v>
      </c>
      <c r="AF491" s="102">
        <v>45</v>
      </c>
      <c r="AG491" s="102">
        <v>50000</v>
      </c>
      <c r="AH491" s="102">
        <v>600</v>
      </c>
      <c r="AI491" s="102">
        <v>130</v>
      </c>
      <c r="AJ491" s="102">
        <v>50</v>
      </c>
      <c r="AK491" s="102">
        <v>50</v>
      </c>
      <c r="AL491" s="102">
        <v>30</v>
      </c>
      <c r="AM491" s="102">
        <v>18</v>
      </c>
      <c r="AN491" s="102">
        <v>45</v>
      </c>
      <c r="AO491" s="102">
        <v>15</v>
      </c>
      <c r="AP491" s="102">
        <v>30</v>
      </c>
      <c r="AQ491" s="102">
        <v>15</v>
      </c>
      <c r="AR491" s="102">
        <v>30</v>
      </c>
      <c r="AS491" s="103" t="s">
        <v>953</v>
      </c>
      <c r="AT491" s="78" t="s">
        <v>1076</v>
      </c>
    </row>
    <row r="492" spans="26:45" ht="12.75">
      <c r="Z492" s="78" t="s">
        <v>581</v>
      </c>
      <c r="AA492" s="78">
        <v>95</v>
      </c>
      <c r="AB492" s="78">
        <v>60</v>
      </c>
      <c r="AC492" s="78">
        <v>40</v>
      </c>
      <c r="AD492" s="78">
        <v>8</v>
      </c>
      <c r="AE492" s="78">
        <v>600</v>
      </c>
      <c r="AF492" s="102">
        <v>5</v>
      </c>
      <c r="AG492" s="102">
        <v>2500</v>
      </c>
      <c r="AH492" s="102">
        <v>300</v>
      </c>
      <c r="AI492" s="102">
        <v>100</v>
      </c>
      <c r="AJ492" s="102">
        <v>50</v>
      </c>
      <c r="AK492" s="102">
        <v>50</v>
      </c>
      <c r="AL492" s="102">
        <v>40</v>
      </c>
      <c r="AM492" s="102">
        <v>4</v>
      </c>
      <c r="AN492" s="102">
        <v>50</v>
      </c>
      <c r="AO492" s="102">
        <v>30</v>
      </c>
      <c r="AP492" s="102">
        <v>27</v>
      </c>
      <c r="AQ492" s="102">
        <v>30</v>
      </c>
      <c r="AR492" s="102">
        <v>45</v>
      </c>
      <c r="AS492" s="103" t="s">
        <v>950</v>
      </c>
    </row>
    <row r="493" spans="26:45" ht="12.75">
      <c r="Z493" s="78" t="s">
        <v>582</v>
      </c>
      <c r="AA493" s="78">
        <v>100</v>
      </c>
      <c r="AB493" s="78">
        <v>30</v>
      </c>
      <c r="AC493" s="78">
        <v>30</v>
      </c>
      <c r="AD493" s="78">
        <v>20</v>
      </c>
      <c r="AE493" s="78">
        <v>300</v>
      </c>
      <c r="AF493" s="102">
        <v>70</v>
      </c>
      <c r="AG493" s="102">
        <v>50000</v>
      </c>
      <c r="AH493" s="102">
        <v>550</v>
      </c>
      <c r="AI493" s="102">
        <v>175</v>
      </c>
      <c r="AJ493" s="102">
        <v>50</v>
      </c>
      <c r="AK493" s="102">
        <v>50</v>
      </c>
      <c r="AL493" s="102">
        <v>25</v>
      </c>
      <c r="AM493" s="102">
        <v>6</v>
      </c>
      <c r="AN493" s="102">
        <v>25</v>
      </c>
      <c r="AO493" s="102">
        <v>10</v>
      </c>
      <c r="AP493" s="102">
        <v>0</v>
      </c>
      <c r="AQ493" s="102">
        <v>10</v>
      </c>
      <c r="AR493" s="102">
        <v>20</v>
      </c>
      <c r="AS493" s="103" t="s">
        <v>953</v>
      </c>
    </row>
    <row r="494" spans="26:45" ht="12.75">
      <c r="Z494" s="78" t="s">
        <v>583</v>
      </c>
      <c r="AA494" s="78">
        <v>200</v>
      </c>
      <c r="AB494" s="78">
        <v>80</v>
      </c>
      <c r="AC494" s="78">
        <v>40</v>
      </c>
      <c r="AD494" s="78">
        <v>6</v>
      </c>
      <c r="AE494" s="78">
        <v>300</v>
      </c>
      <c r="AF494" s="102">
        <v>1</v>
      </c>
      <c r="AG494" s="102">
        <v>400</v>
      </c>
      <c r="AH494" s="102">
        <v>50</v>
      </c>
      <c r="AI494" s="102">
        <v>30</v>
      </c>
      <c r="AJ494" s="102">
        <v>10</v>
      </c>
      <c r="AK494" s="102">
        <v>10</v>
      </c>
      <c r="AL494" s="102">
        <v>5</v>
      </c>
      <c r="AM494" s="102">
        <v>2</v>
      </c>
      <c r="AN494" s="102">
        <v>10</v>
      </c>
      <c r="AO494" s="102">
        <v>0</v>
      </c>
      <c r="AP494" s="102">
        <v>0</v>
      </c>
      <c r="AQ494" s="102">
        <v>0</v>
      </c>
      <c r="AR494" s="102">
        <v>0</v>
      </c>
      <c r="AS494" s="103" t="s">
        <v>952</v>
      </c>
    </row>
    <row r="495" spans="26:45" ht="12.75">
      <c r="Z495" s="78" t="s">
        <v>584</v>
      </c>
      <c r="AA495" s="78">
        <v>300</v>
      </c>
      <c r="AB495" s="78">
        <v>120</v>
      </c>
      <c r="AC495" s="78">
        <v>60</v>
      </c>
      <c r="AD495" s="78">
        <v>4</v>
      </c>
      <c r="AE495" s="78">
        <v>100</v>
      </c>
      <c r="AF495" s="102">
        <v>1</v>
      </c>
      <c r="AG495" s="102">
        <v>300</v>
      </c>
      <c r="AH495" s="102">
        <v>40</v>
      </c>
      <c r="AI495" s="102">
        <v>35</v>
      </c>
      <c r="AJ495" s="102">
        <v>10</v>
      </c>
      <c r="AK495" s="102">
        <v>10</v>
      </c>
      <c r="AL495" s="102">
        <v>8</v>
      </c>
      <c r="AM495" s="102">
        <v>2</v>
      </c>
      <c r="AN495" s="102">
        <v>0</v>
      </c>
      <c r="AO495" s="102">
        <v>0</v>
      </c>
      <c r="AP495" s="102">
        <v>0</v>
      </c>
      <c r="AQ495" s="102">
        <v>0</v>
      </c>
      <c r="AR495" s="102">
        <v>0</v>
      </c>
      <c r="AS495" s="103" t="s">
        <v>952</v>
      </c>
    </row>
    <row r="496" spans="26:45" ht="12.75">
      <c r="Z496" s="78" t="s">
        <v>585</v>
      </c>
      <c r="AA496" s="78">
        <v>220</v>
      </c>
      <c r="AB496" s="78">
        <v>80</v>
      </c>
      <c r="AC496" s="78">
        <v>40</v>
      </c>
      <c r="AD496" s="78">
        <v>5</v>
      </c>
      <c r="AE496" s="78">
        <v>280</v>
      </c>
      <c r="AF496" s="102">
        <v>1</v>
      </c>
      <c r="AG496" s="102">
        <v>400</v>
      </c>
      <c r="AH496" s="102">
        <v>60</v>
      </c>
      <c r="AI496" s="102">
        <v>40</v>
      </c>
      <c r="AJ496" s="102">
        <v>15</v>
      </c>
      <c r="AK496" s="102">
        <v>15</v>
      </c>
      <c r="AL496" s="102">
        <v>9</v>
      </c>
      <c r="AM496" s="102">
        <v>2</v>
      </c>
      <c r="AN496" s="102">
        <v>10</v>
      </c>
      <c r="AO496" s="102">
        <v>0</v>
      </c>
      <c r="AP496" s="102">
        <v>0</v>
      </c>
      <c r="AQ496" s="102">
        <v>0</v>
      </c>
      <c r="AR496" s="102">
        <v>0</v>
      </c>
      <c r="AS496" s="103" t="s">
        <v>952</v>
      </c>
    </row>
    <row r="497" spans="26:45" ht="12.75">
      <c r="Z497" s="78" t="s">
        <v>948</v>
      </c>
      <c r="AA497" s="78">
        <v>230</v>
      </c>
      <c r="AB497" s="78">
        <v>100</v>
      </c>
      <c r="AC497" s="78">
        <v>40</v>
      </c>
      <c r="AD497" s="78">
        <v>6</v>
      </c>
      <c r="AE497" s="78">
        <v>200</v>
      </c>
      <c r="AF497" s="102">
        <v>1</v>
      </c>
      <c r="AG497" s="102">
        <v>500</v>
      </c>
      <c r="AH497" s="102">
        <v>55</v>
      </c>
      <c r="AI497" s="102">
        <v>40</v>
      </c>
      <c r="AJ497" s="102">
        <v>15</v>
      </c>
      <c r="AK497" s="102">
        <v>15</v>
      </c>
      <c r="AL497" s="102">
        <v>14</v>
      </c>
      <c r="AM497" s="102">
        <v>2</v>
      </c>
      <c r="AN497" s="102">
        <v>15</v>
      </c>
      <c r="AO497" s="102">
        <v>0</v>
      </c>
      <c r="AP497" s="102">
        <v>0</v>
      </c>
      <c r="AQ497" s="102">
        <v>0</v>
      </c>
      <c r="AR497" s="102">
        <v>15</v>
      </c>
      <c r="AS497" s="103" t="s">
        <v>952</v>
      </c>
    </row>
    <row r="498" spans="26:45" ht="12.75">
      <c r="Z498" s="78" t="s">
        <v>586</v>
      </c>
      <c r="AA498" s="78">
        <v>10</v>
      </c>
      <c r="AB498" s="78">
        <v>10</v>
      </c>
      <c r="AC498" s="78">
        <v>10</v>
      </c>
      <c r="AD498" s="78">
        <v>1</v>
      </c>
      <c r="AE498" s="78" t="s">
        <v>285</v>
      </c>
      <c r="AF498" s="102">
        <v>3</v>
      </c>
      <c r="AG498" s="102">
        <v>1200</v>
      </c>
      <c r="AH498" s="102">
        <v>40</v>
      </c>
      <c r="AI498" s="102"/>
      <c r="AS498" s="103"/>
    </row>
    <row r="499" spans="26:45" ht="12.75">
      <c r="Z499" s="78" t="s">
        <v>587</v>
      </c>
      <c r="AA499" s="78">
        <v>70</v>
      </c>
      <c r="AB499" s="78">
        <v>30</v>
      </c>
      <c r="AC499" s="78">
        <v>30</v>
      </c>
      <c r="AD499" s="78">
        <v>20</v>
      </c>
      <c r="AE499" s="78" t="s">
        <v>285</v>
      </c>
      <c r="AF499" s="102">
        <v>20</v>
      </c>
      <c r="AG499" s="102">
        <v>50000</v>
      </c>
      <c r="AH499" s="102">
        <v>290</v>
      </c>
      <c r="AS499" s="103"/>
    </row>
    <row r="500" spans="26:45" ht="12.75">
      <c r="Z500" s="78" t="s">
        <v>588</v>
      </c>
      <c r="AA500" s="78">
        <v>40</v>
      </c>
      <c r="AB500" s="78" t="s">
        <v>285</v>
      </c>
      <c r="AC500" s="78" t="s">
        <v>285</v>
      </c>
      <c r="AD500" s="78" t="s">
        <v>285</v>
      </c>
      <c r="AE500" s="78">
        <v>60</v>
      </c>
      <c r="AF500" s="102">
        <v>4</v>
      </c>
      <c r="AG500" s="102">
        <v>2000</v>
      </c>
      <c r="AH500" s="102">
        <v>20</v>
      </c>
      <c r="AS500" s="103" t="s">
        <v>952</v>
      </c>
    </row>
    <row r="501" spans="26:45" ht="12.75">
      <c r="Z501" s="78" t="s">
        <v>589</v>
      </c>
      <c r="AA501" s="78">
        <v>180</v>
      </c>
      <c r="AB501" s="78">
        <v>40</v>
      </c>
      <c r="AC501" s="78">
        <v>40</v>
      </c>
      <c r="AD501" s="78">
        <v>30</v>
      </c>
      <c r="AE501" s="78">
        <v>150</v>
      </c>
      <c r="AF501" s="102">
        <v>1</v>
      </c>
      <c r="AG501" s="102">
        <v>600</v>
      </c>
      <c r="AH501" s="102">
        <v>90</v>
      </c>
      <c r="AS501" s="103" t="s">
        <v>950</v>
      </c>
    </row>
    <row r="502" spans="26:46" ht="12.75">
      <c r="Z502" s="78" t="s">
        <v>590</v>
      </c>
      <c r="AA502" s="78">
        <v>66</v>
      </c>
      <c r="AB502" s="78">
        <v>40</v>
      </c>
      <c r="AC502" s="78">
        <v>30</v>
      </c>
      <c r="AD502" s="78">
        <v>8</v>
      </c>
      <c r="AE502" s="78">
        <v>70</v>
      </c>
      <c r="AF502" s="102">
        <v>10</v>
      </c>
      <c r="AG502" s="102">
        <v>10000</v>
      </c>
      <c r="AH502" s="102">
        <v>350</v>
      </c>
      <c r="AI502" s="102">
        <v>75</v>
      </c>
      <c r="AJ502" s="102">
        <v>30</v>
      </c>
      <c r="AK502" s="102">
        <v>30</v>
      </c>
      <c r="AL502" s="102">
        <v>60</v>
      </c>
      <c r="AM502" s="102">
        <v>2</v>
      </c>
      <c r="AN502" s="102">
        <v>75</v>
      </c>
      <c r="AO502" s="102">
        <v>45</v>
      </c>
      <c r="AP502" s="102">
        <v>90</v>
      </c>
      <c r="AQ502" s="102">
        <v>45</v>
      </c>
      <c r="AR502" s="102">
        <v>60</v>
      </c>
      <c r="AS502" s="103" t="s">
        <v>950</v>
      </c>
      <c r="AT502" s="1" t="s">
        <v>890</v>
      </c>
    </row>
    <row r="503" spans="26:46" ht="12.75">
      <c r="Z503" s="78" t="s">
        <v>591</v>
      </c>
      <c r="AA503" s="78">
        <v>116</v>
      </c>
      <c r="AB503" s="78">
        <v>60</v>
      </c>
      <c r="AC503" s="78">
        <v>30</v>
      </c>
      <c r="AD503" s="78">
        <v>9</v>
      </c>
      <c r="AE503" s="78">
        <v>885</v>
      </c>
      <c r="AF503" s="102">
        <v>8</v>
      </c>
      <c r="AG503" s="102">
        <v>8000</v>
      </c>
      <c r="AH503" s="102">
        <v>300</v>
      </c>
      <c r="AI503" s="102">
        <v>75</v>
      </c>
      <c r="AJ503" s="102">
        <v>30</v>
      </c>
      <c r="AK503" s="102">
        <v>30</v>
      </c>
      <c r="AL503" s="102">
        <v>50</v>
      </c>
      <c r="AM503" s="102">
        <v>4</v>
      </c>
      <c r="AN503" s="102">
        <v>75</v>
      </c>
      <c r="AO503" s="102">
        <v>45</v>
      </c>
      <c r="AP503" s="102">
        <v>60</v>
      </c>
      <c r="AQ503" s="102">
        <v>45</v>
      </c>
      <c r="AR503" s="102">
        <v>60</v>
      </c>
      <c r="AS503" s="103" t="s">
        <v>954</v>
      </c>
      <c r="AT503" s="1" t="s">
        <v>891</v>
      </c>
    </row>
    <row r="504" spans="26:46" ht="12.75">
      <c r="Z504" s="78" t="s">
        <v>947</v>
      </c>
      <c r="AA504" s="78">
        <v>112</v>
      </c>
      <c r="AB504" s="78">
        <v>60</v>
      </c>
      <c r="AC504" s="78">
        <v>50</v>
      </c>
      <c r="AD504" s="78">
        <v>7</v>
      </c>
      <c r="AE504" s="78">
        <v>800</v>
      </c>
      <c r="AF504" s="102">
        <v>9</v>
      </c>
      <c r="AG504" s="102">
        <v>10000</v>
      </c>
      <c r="AH504" s="102">
        <v>400</v>
      </c>
      <c r="AI504" s="102">
        <v>75</v>
      </c>
      <c r="AJ504" s="102">
        <v>30</v>
      </c>
      <c r="AK504" s="102">
        <v>30</v>
      </c>
      <c r="AL504" s="102">
        <v>60</v>
      </c>
      <c r="AM504" s="102">
        <v>4</v>
      </c>
      <c r="AN504" s="102">
        <v>75</v>
      </c>
      <c r="AO504" s="102">
        <v>45</v>
      </c>
      <c r="AP504" s="102">
        <v>70</v>
      </c>
      <c r="AQ504" s="102">
        <v>45</v>
      </c>
      <c r="AR504" s="102">
        <v>60</v>
      </c>
      <c r="AS504" s="103" t="s">
        <v>954</v>
      </c>
      <c r="AT504" s="1" t="s">
        <v>892</v>
      </c>
    </row>
    <row r="505" spans="26:46" ht="12.75">
      <c r="Z505" s="78" t="s">
        <v>593</v>
      </c>
      <c r="AA505" s="78">
        <v>1000</v>
      </c>
      <c r="AS505" s="103"/>
      <c r="AT505" s="1" t="s">
        <v>1060</v>
      </c>
    </row>
    <row r="506" spans="26:46" ht="12.75">
      <c r="Z506" s="78" t="s">
        <v>594</v>
      </c>
      <c r="AA506" s="78">
        <v>1300</v>
      </c>
      <c r="AS506" s="103"/>
      <c r="AT506" s="1" t="s">
        <v>1060</v>
      </c>
    </row>
    <row r="507" spans="26:46" ht="12.75">
      <c r="Z507" s="78" t="s">
        <v>595</v>
      </c>
      <c r="AA507" s="78">
        <v>2500</v>
      </c>
      <c r="AS507" s="103"/>
      <c r="AT507" s="1" t="s">
        <v>1061</v>
      </c>
    </row>
    <row r="508" spans="26:46" ht="12.75">
      <c r="Z508" s="78" t="s">
        <v>596</v>
      </c>
      <c r="AA508" s="78">
        <v>3000</v>
      </c>
      <c r="AS508" s="103"/>
      <c r="AT508" s="1" t="s">
        <v>1062</v>
      </c>
    </row>
    <row r="509" spans="26:46" ht="12.75">
      <c r="Z509" s="78" t="s">
        <v>949</v>
      </c>
      <c r="AA509" s="78">
        <v>3000</v>
      </c>
      <c r="AS509" s="103"/>
      <c r="AT509" s="1" t="s">
        <v>1063</v>
      </c>
    </row>
    <row r="510" spans="26:46" ht="12.75">
      <c r="Z510" s="78" t="s">
        <v>598</v>
      </c>
      <c r="AA510" s="78">
        <v>50</v>
      </c>
      <c r="AB510" s="78">
        <v>20</v>
      </c>
      <c r="AC510" s="78">
        <v>50</v>
      </c>
      <c r="AD510" s="78">
        <v>2</v>
      </c>
      <c r="AE510" s="78">
        <v>100</v>
      </c>
      <c r="AF510" s="78">
        <v>4</v>
      </c>
      <c r="AG510" s="78">
        <v>3000</v>
      </c>
      <c r="AH510" s="78">
        <v>400</v>
      </c>
      <c r="AI510" s="78">
        <v>75</v>
      </c>
      <c r="AJ510" s="78">
        <v>30</v>
      </c>
      <c r="AK510" s="78">
        <v>30</v>
      </c>
      <c r="AL510" s="78">
        <v>90</v>
      </c>
      <c r="AM510" s="78">
        <v>2</v>
      </c>
      <c r="AN510" s="78">
        <v>85</v>
      </c>
      <c r="AO510" s="78">
        <v>45</v>
      </c>
      <c r="AP510" s="78">
        <v>95</v>
      </c>
      <c r="AQ510" s="78">
        <v>45</v>
      </c>
      <c r="AR510" s="78">
        <v>70</v>
      </c>
      <c r="AS510" s="103" t="s">
        <v>324</v>
      </c>
      <c r="AT510" s="1" t="s">
        <v>893</v>
      </c>
    </row>
    <row r="511" spans="26:46" ht="12.75">
      <c r="Z511" s="78" t="s">
        <v>599</v>
      </c>
      <c r="AA511" s="78">
        <v>60</v>
      </c>
      <c r="AB511" s="78">
        <v>30</v>
      </c>
      <c r="AC511" s="78">
        <v>30</v>
      </c>
      <c r="AD511" s="78">
        <v>2</v>
      </c>
      <c r="AE511" s="78">
        <v>120</v>
      </c>
      <c r="AF511" s="78">
        <v>5</v>
      </c>
      <c r="AG511" s="78">
        <v>2000</v>
      </c>
      <c r="AH511" s="78">
        <v>375</v>
      </c>
      <c r="AI511" s="78">
        <v>70</v>
      </c>
      <c r="AJ511" s="78">
        <v>30</v>
      </c>
      <c r="AK511" s="78">
        <v>30</v>
      </c>
      <c r="AL511" s="78">
        <v>85</v>
      </c>
      <c r="AM511" s="78">
        <v>2</v>
      </c>
      <c r="AN511" s="78">
        <v>90</v>
      </c>
      <c r="AO511" s="78">
        <v>45</v>
      </c>
      <c r="AP511" s="78">
        <v>95</v>
      </c>
      <c r="AQ511" s="78">
        <v>45</v>
      </c>
      <c r="AR511" s="78">
        <v>75</v>
      </c>
      <c r="AS511" s="103" t="s">
        <v>324</v>
      </c>
      <c r="AT511" s="1" t="s">
        <v>894</v>
      </c>
    </row>
    <row r="512" spans="26:46" ht="12.75">
      <c r="Z512" s="78" t="s">
        <v>600</v>
      </c>
      <c r="AA512" s="78">
        <v>60</v>
      </c>
      <c r="AB512" s="78">
        <v>30</v>
      </c>
      <c r="AC512" s="78">
        <v>60</v>
      </c>
      <c r="AD512" s="78">
        <v>2</v>
      </c>
      <c r="AE512" s="78">
        <v>100</v>
      </c>
      <c r="AF512" s="78">
        <v>5</v>
      </c>
      <c r="AG512" s="78">
        <v>4000</v>
      </c>
      <c r="AH512" s="78">
        <v>500</v>
      </c>
      <c r="AI512" s="78">
        <v>75</v>
      </c>
      <c r="AJ512" s="78">
        <v>30</v>
      </c>
      <c r="AK512" s="78">
        <v>30</v>
      </c>
      <c r="AL512" s="78">
        <v>60</v>
      </c>
      <c r="AM512" s="78">
        <v>2</v>
      </c>
      <c r="AN512" s="78">
        <v>95</v>
      </c>
      <c r="AO512" s="78">
        <v>60</v>
      </c>
      <c r="AP512" s="78">
        <v>98</v>
      </c>
      <c r="AQ512" s="78">
        <v>60</v>
      </c>
      <c r="AR512" s="78">
        <v>85</v>
      </c>
      <c r="AS512" s="103" t="s">
        <v>955</v>
      </c>
      <c r="AT512" s="1" t="s">
        <v>1064</v>
      </c>
    </row>
    <row r="513" spans="26:46" ht="12.75">
      <c r="Z513" s="78">
        <f>IF(Разное!AM110="","",Разное!AM110)</f>
      </c>
      <c r="AA513" s="78">
        <f>Разное!AK113</f>
        <v>0</v>
      </c>
      <c r="AB513" s="78">
        <f>Разное!AO113</f>
        <v>0</v>
      </c>
      <c r="AC513" s="78">
        <f>Разное!AS113</f>
        <v>0</v>
      </c>
      <c r="AD513" s="78">
        <f>Разное!AK115</f>
        <v>0</v>
      </c>
      <c r="AE513" s="78">
        <f>Разное!AO115</f>
        <v>0</v>
      </c>
      <c r="AF513" s="78">
        <f>Разное!AS115</f>
        <v>0</v>
      </c>
      <c r="AG513" s="78">
        <f>Разное!AK117</f>
        <v>0</v>
      </c>
      <c r="AH513" s="78">
        <f>Разное!AM123</f>
        <v>0</v>
      </c>
      <c r="AI513" s="78">
        <f>Разное!AP123</f>
        <v>0</v>
      </c>
      <c r="AJ513" s="78">
        <f>Разное!AS123</f>
        <v>0</v>
      </c>
      <c r="AK513" s="78">
        <f>Разное!AM125</f>
        <v>0</v>
      </c>
      <c r="AL513" s="78">
        <f>Разное!AQ125</f>
        <v>0</v>
      </c>
      <c r="AM513" s="78">
        <f>Разное!AT125</f>
        <v>0</v>
      </c>
      <c r="AN513" s="78">
        <f>Разное!AM119</f>
        <v>0</v>
      </c>
      <c r="AO513" s="78">
        <f>Разное!AP119</f>
        <v>0</v>
      </c>
      <c r="AP513" s="78">
        <f>Разное!AS119</f>
        <v>0</v>
      </c>
      <c r="AQ513" s="78">
        <f>Разное!AM121</f>
        <v>0</v>
      </c>
      <c r="AR513" s="78">
        <f>Разное!AP121</f>
        <v>0</v>
      </c>
      <c r="AS513" s="78">
        <f>Разное!AS117</f>
        <v>0</v>
      </c>
      <c r="AT513" s="78">
        <f>Разное!AI129</f>
        <v>0</v>
      </c>
    </row>
    <row r="514" spans="26:46" ht="12.75">
      <c r="Z514" s="78">
        <f>IF(Разное!BA110="","",Разное!BA110)</f>
      </c>
      <c r="AA514" s="78">
        <f>Разное!AY113</f>
        <v>0</v>
      </c>
      <c r="AB514" s="78">
        <f>Разное!BC113</f>
        <v>0</v>
      </c>
      <c r="AC514" s="78">
        <f>Разное!BG113</f>
        <v>0</v>
      </c>
      <c r="AD514" s="78">
        <f>Разное!AY115</f>
        <v>0</v>
      </c>
      <c r="AE514" s="78">
        <f>Разное!BC115</f>
        <v>0</v>
      </c>
      <c r="AF514" s="78">
        <f>Разное!BG115</f>
        <v>0</v>
      </c>
      <c r="AG514" s="78">
        <f>Разное!AY117</f>
        <v>0</v>
      </c>
      <c r="AH514" s="78">
        <f>Разное!BA123</f>
        <v>0</v>
      </c>
      <c r="AI514" s="78">
        <f>Разное!BD123</f>
        <v>0</v>
      </c>
      <c r="AJ514" s="78">
        <f>Разное!BG123</f>
        <v>0</v>
      </c>
      <c r="AK514" s="78">
        <f>Разное!BA125</f>
        <v>0</v>
      </c>
      <c r="AL514" s="78">
        <f>Разное!BE125</f>
        <v>0</v>
      </c>
      <c r="AM514" s="78">
        <f>Разное!BH125</f>
        <v>0</v>
      </c>
      <c r="AN514" s="78">
        <f>Разное!BA119</f>
        <v>0</v>
      </c>
      <c r="AO514" s="78">
        <f>Разное!BD119</f>
        <v>0</v>
      </c>
      <c r="AP514" s="78">
        <f>Разное!BG119</f>
        <v>0</v>
      </c>
      <c r="AQ514" s="78">
        <f>Разное!BA121</f>
        <v>0</v>
      </c>
      <c r="AR514" s="78">
        <f>Разное!BD121</f>
        <v>0</v>
      </c>
      <c r="AS514" s="78">
        <f>Разное!BG117</f>
        <v>0</v>
      </c>
      <c r="AT514" s="78">
        <f>Разное!AW129</f>
        <v>0</v>
      </c>
    </row>
    <row r="515" spans="26:46" ht="12.75">
      <c r="Z515" s="78">
        <f>IF(Разное!BO110="","",Разное!BO110)</f>
      </c>
      <c r="AA515" s="78">
        <f>Разное!BM113</f>
        <v>0</v>
      </c>
      <c r="AB515" s="78">
        <f>Разное!BQ113</f>
        <v>0</v>
      </c>
      <c r="AC515" s="78">
        <f>Разное!BU113</f>
        <v>0</v>
      </c>
      <c r="AD515" s="78">
        <f>Разное!BM115</f>
        <v>0</v>
      </c>
      <c r="AE515" s="78">
        <f>Разное!BQ115</f>
        <v>0</v>
      </c>
      <c r="AF515" s="78">
        <f>Разное!BU115</f>
        <v>0</v>
      </c>
      <c r="AG515" s="78">
        <f>Разное!BM117</f>
        <v>0</v>
      </c>
      <c r="AH515" s="78">
        <f>Разное!BO123</f>
        <v>0</v>
      </c>
      <c r="AI515" s="78">
        <f>Разное!BR123</f>
        <v>0</v>
      </c>
      <c r="AJ515" s="78">
        <f>Разное!BU123</f>
        <v>0</v>
      </c>
      <c r="AK515" s="78">
        <f>Разное!BO125</f>
        <v>0</v>
      </c>
      <c r="AL515" s="78">
        <f>Разное!BS125</f>
        <v>0</v>
      </c>
      <c r="AM515" s="78">
        <f>Разное!BV125</f>
        <v>0</v>
      </c>
      <c r="AN515" s="78">
        <f>Разное!BO119</f>
        <v>0</v>
      </c>
      <c r="AO515" s="78">
        <f>Разное!BR119</f>
        <v>0</v>
      </c>
      <c r="AP515" s="78">
        <f>Разное!BU119</f>
        <v>0</v>
      </c>
      <c r="AQ515" s="78">
        <f>Разное!BO121</f>
        <v>0</v>
      </c>
      <c r="AR515" s="78">
        <f>Разное!BR121</f>
        <v>0</v>
      </c>
      <c r="AS515" s="95">
        <f>Разное!BU117</f>
        <v>0</v>
      </c>
      <c r="AT515" s="95">
        <f>Разное!BK129</f>
        <v>0</v>
      </c>
    </row>
    <row r="517" spans="26:60" ht="12.75">
      <c r="Z517" s="78" t="s">
        <v>967</v>
      </c>
      <c r="AA517" s="78" t="s">
        <v>968</v>
      </c>
      <c r="AB517" s="78" t="s">
        <v>969</v>
      </c>
      <c r="AC517" s="78" t="s">
        <v>173</v>
      </c>
      <c r="AD517" s="78" t="s">
        <v>970</v>
      </c>
      <c r="AE517" s="78" t="s">
        <v>971</v>
      </c>
      <c r="AF517" s="78" t="s">
        <v>174</v>
      </c>
      <c r="AG517" s="78" t="s">
        <v>335</v>
      </c>
      <c r="AI517" s="78" t="s">
        <v>861</v>
      </c>
      <c r="AK517" s="78" t="s">
        <v>337</v>
      </c>
      <c r="AM517" s="78" t="s">
        <v>336</v>
      </c>
      <c r="AO517" s="78" t="s">
        <v>332</v>
      </c>
      <c r="AQ517" s="78" t="s">
        <v>972</v>
      </c>
      <c r="AR517" s="78" t="s">
        <v>973</v>
      </c>
      <c r="AS517" s="78" t="s">
        <v>974</v>
      </c>
      <c r="AU517" s="78" t="s">
        <v>983</v>
      </c>
      <c r="AV517" s="78" t="s">
        <v>1010</v>
      </c>
      <c r="AW517" s="78" t="s">
        <v>173</v>
      </c>
      <c r="AX517" s="78" t="s">
        <v>825</v>
      </c>
      <c r="AY517" s="78" t="s">
        <v>763</v>
      </c>
      <c r="AZ517" s="78" t="s">
        <v>984</v>
      </c>
      <c r="BA517" s="78" t="s">
        <v>1010</v>
      </c>
      <c r="BB517" s="78" t="s">
        <v>173</v>
      </c>
      <c r="BC517" s="78" t="s">
        <v>825</v>
      </c>
      <c r="BD517" s="78" t="s">
        <v>763</v>
      </c>
      <c r="BE517" s="78" t="s">
        <v>1120</v>
      </c>
      <c r="BF517" s="78" t="s">
        <v>1121</v>
      </c>
      <c r="BG517" s="78" t="s">
        <v>1122</v>
      </c>
      <c r="BH517" s="78" t="s">
        <v>1123</v>
      </c>
    </row>
    <row r="518" ht="12.75">
      <c r="Z518" s="78" t="s">
        <v>1131</v>
      </c>
    </row>
    <row r="519" spans="26:60" ht="12.75">
      <c r="Z519" s="78" t="s">
        <v>975</v>
      </c>
      <c r="AA519" s="78">
        <v>10</v>
      </c>
      <c r="AB519" s="78">
        <v>6</v>
      </c>
      <c r="AC519" s="78">
        <v>6</v>
      </c>
      <c r="AD519" s="78">
        <v>25</v>
      </c>
      <c r="AE519" s="84">
        <v>0.03</v>
      </c>
      <c r="AF519" s="78">
        <v>5</v>
      </c>
      <c r="AG519" s="78">
        <v>0</v>
      </c>
      <c r="AH519" s="84">
        <v>0</v>
      </c>
      <c r="AI519" s="78">
        <v>0</v>
      </c>
      <c r="AJ519" s="84">
        <v>0</v>
      </c>
      <c r="AK519" s="78">
        <v>0</v>
      </c>
      <c r="AL519" s="84">
        <v>0</v>
      </c>
      <c r="AM519" s="78">
        <v>0</v>
      </c>
      <c r="AN519" s="84">
        <v>0</v>
      </c>
      <c r="AO519" s="78">
        <v>0</v>
      </c>
      <c r="AP519" s="84">
        <v>0</v>
      </c>
      <c r="AQ519" s="84">
        <v>0.5</v>
      </c>
      <c r="AR519" s="84">
        <v>0.2</v>
      </c>
      <c r="AS519" s="84">
        <v>0</v>
      </c>
      <c r="AT519" s="84">
        <v>0</v>
      </c>
      <c r="AU519" s="102" t="s">
        <v>1008</v>
      </c>
      <c r="AV519" s="84">
        <v>0.75</v>
      </c>
      <c r="AW519" s="78">
        <v>3</v>
      </c>
      <c r="AX519" s="78" t="s">
        <v>724</v>
      </c>
      <c r="AY519" s="78" t="s">
        <v>1014</v>
      </c>
      <c r="AZ519" s="78" t="s">
        <v>1009</v>
      </c>
      <c r="BA519" s="84">
        <v>0.7</v>
      </c>
      <c r="BB519" s="78">
        <v>3</v>
      </c>
      <c r="BC519" s="78" t="s">
        <v>724</v>
      </c>
      <c r="BD519" s="78" t="s">
        <v>1011</v>
      </c>
      <c r="BE519" s="78" t="s">
        <v>285</v>
      </c>
      <c r="BF519" s="78" t="s">
        <v>285</v>
      </c>
      <c r="BG519" s="78" t="s">
        <v>285</v>
      </c>
      <c r="BH519" s="78" t="s">
        <v>285</v>
      </c>
    </row>
    <row r="520" spans="25:60" ht="12.75">
      <c r="Y520" s="78">
        <v>1</v>
      </c>
      <c r="Z520" s="78" t="s">
        <v>976</v>
      </c>
      <c r="AA520" s="78">
        <v>10</v>
      </c>
      <c r="AB520" s="78">
        <v>6</v>
      </c>
      <c r="AC520" s="78">
        <v>6</v>
      </c>
      <c r="AD520" s="78">
        <v>35</v>
      </c>
      <c r="AE520" s="84">
        <v>0.03</v>
      </c>
      <c r="AF520" s="78">
        <v>5</v>
      </c>
      <c r="AG520" s="78">
        <v>0</v>
      </c>
      <c r="AH520" s="84">
        <v>0</v>
      </c>
      <c r="AI520" s="78">
        <v>0</v>
      </c>
      <c r="AJ520" s="84">
        <v>0</v>
      </c>
      <c r="AK520" s="78">
        <v>0</v>
      </c>
      <c r="AL520" s="84">
        <v>0</v>
      </c>
      <c r="AM520" s="78">
        <v>0</v>
      </c>
      <c r="AN520" s="84">
        <v>0</v>
      </c>
      <c r="AO520" s="78">
        <v>0</v>
      </c>
      <c r="AP520" s="84">
        <v>0</v>
      </c>
      <c r="AQ520" s="84">
        <v>0.6</v>
      </c>
      <c r="AR520" s="84">
        <v>1</v>
      </c>
      <c r="AS520" s="84">
        <v>0</v>
      </c>
      <c r="AT520" s="84">
        <v>0.5</v>
      </c>
      <c r="AU520" s="102" t="s">
        <v>1008</v>
      </c>
      <c r="AV520" s="84">
        <v>0.75</v>
      </c>
      <c r="AW520" s="102">
        <v>3</v>
      </c>
      <c r="AX520" s="78" t="s">
        <v>724</v>
      </c>
      <c r="AY520" s="78" t="s">
        <v>1012</v>
      </c>
      <c r="AZ520" s="78" t="s">
        <v>1009</v>
      </c>
      <c r="BA520" s="84">
        <v>0.7</v>
      </c>
      <c r="BB520" s="78">
        <v>3</v>
      </c>
      <c r="BC520" s="78" t="s">
        <v>724</v>
      </c>
      <c r="BD520" s="78" t="s">
        <v>1012</v>
      </c>
      <c r="BE520" s="78" t="s">
        <v>285</v>
      </c>
      <c r="BF520" s="78" t="s">
        <v>285</v>
      </c>
      <c r="BG520" s="78" t="s">
        <v>285</v>
      </c>
      <c r="BH520" s="78" t="s">
        <v>285</v>
      </c>
    </row>
    <row r="521" spans="26:60" ht="12.75">
      <c r="Z521" s="78" t="s">
        <v>977</v>
      </c>
      <c r="AA521" s="78">
        <v>140</v>
      </c>
      <c r="AB521" s="78">
        <v>6</v>
      </c>
      <c r="AC521" s="78">
        <v>7</v>
      </c>
      <c r="AD521" s="78">
        <v>600</v>
      </c>
      <c r="AE521" s="84">
        <v>0.05</v>
      </c>
      <c r="AF521" s="78">
        <v>20</v>
      </c>
      <c r="AG521" s="78">
        <v>2</v>
      </c>
      <c r="AH521" s="84">
        <v>0.3</v>
      </c>
      <c r="AI521" s="78">
        <v>1</v>
      </c>
      <c r="AJ521" s="84">
        <v>0.1</v>
      </c>
      <c r="AK521" s="78">
        <v>1</v>
      </c>
      <c r="AL521" s="84">
        <v>0.1</v>
      </c>
      <c r="AM521" s="78">
        <v>0</v>
      </c>
      <c r="AN521" s="84">
        <v>0.1</v>
      </c>
      <c r="AO521" s="78">
        <v>3</v>
      </c>
      <c r="AP521" s="84">
        <v>0.25</v>
      </c>
      <c r="AQ521" s="84">
        <v>0.7</v>
      </c>
      <c r="AR521" s="84">
        <v>0.35</v>
      </c>
      <c r="AS521" s="84">
        <v>0</v>
      </c>
      <c r="AT521" s="84">
        <v>0.25</v>
      </c>
      <c r="AU521" s="102" t="s">
        <v>1008</v>
      </c>
      <c r="AV521" s="84">
        <v>0.8</v>
      </c>
      <c r="AW521" s="102">
        <v>3</v>
      </c>
      <c r="AX521" s="78" t="s">
        <v>1013</v>
      </c>
      <c r="AY521" s="78" t="s">
        <v>1014</v>
      </c>
      <c r="AZ521" s="78" t="s">
        <v>1009</v>
      </c>
      <c r="BA521" s="84">
        <v>0.9</v>
      </c>
      <c r="BB521" s="78">
        <v>4</v>
      </c>
      <c r="BC521" s="78" t="s">
        <v>1015</v>
      </c>
      <c r="BD521" s="78" t="s">
        <v>1014</v>
      </c>
      <c r="BE521" s="78" t="s">
        <v>285</v>
      </c>
      <c r="BF521" s="78" t="s">
        <v>285</v>
      </c>
      <c r="BG521" s="78" t="s">
        <v>285</v>
      </c>
      <c r="BH521" s="78" t="s">
        <v>285</v>
      </c>
    </row>
    <row r="522" spans="26:60" ht="12.75">
      <c r="Z522" s="78" t="s">
        <v>978</v>
      </c>
      <c r="AA522" s="78">
        <v>70</v>
      </c>
      <c r="AB522" s="78">
        <v>9</v>
      </c>
      <c r="AC522" s="78">
        <v>6</v>
      </c>
      <c r="AD522" s="78">
        <v>400</v>
      </c>
      <c r="AE522" s="84">
        <v>0.05</v>
      </c>
      <c r="AF522" s="78">
        <v>10</v>
      </c>
      <c r="AG522" s="78">
        <v>5</v>
      </c>
      <c r="AH522" s="84">
        <v>0.2</v>
      </c>
      <c r="AI522" s="78">
        <v>1</v>
      </c>
      <c r="AJ522" s="84">
        <v>0.05</v>
      </c>
      <c r="AK522" s="78">
        <v>0</v>
      </c>
      <c r="AL522" s="84">
        <v>0.1</v>
      </c>
      <c r="AM522" s="78">
        <v>0</v>
      </c>
      <c r="AN522" s="84">
        <v>0.05</v>
      </c>
      <c r="AO522" s="78">
        <v>4</v>
      </c>
      <c r="AP522" s="84">
        <v>0.2</v>
      </c>
      <c r="AQ522" s="84">
        <v>0.6</v>
      </c>
      <c r="AR522" s="84">
        <v>0.25</v>
      </c>
      <c r="AS522" s="84">
        <v>0</v>
      </c>
      <c r="AT522" s="84">
        <v>0.25</v>
      </c>
      <c r="AU522" s="102" t="s">
        <v>1008</v>
      </c>
      <c r="AV522" s="84">
        <v>0.9</v>
      </c>
      <c r="AW522" s="102">
        <v>3</v>
      </c>
      <c r="AX522" s="78" t="s">
        <v>833</v>
      </c>
      <c r="AY522" s="78" t="s">
        <v>1014</v>
      </c>
      <c r="AZ522" s="78" t="s">
        <v>1009</v>
      </c>
      <c r="BA522" s="84">
        <v>0.9</v>
      </c>
      <c r="BB522" s="78">
        <v>3</v>
      </c>
      <c r="BC522" s="78" t="s">
        <v>833</v>
      </c>
      <c r="BD522" s="78" t="s">
        <v>1011</v>
      </c>
      <c r="BE522" s="78" t="s">
        <v>285</v>
      </c>
      <c r="BF522" s="78" t="s">
        <v>285</v>
      </c>
      <c r="BG522" s="78" t="s">
        <v>285</v>
      </c>
      <c r="BH522" s="78" t="s">
        <v>285</v>
      </c>
    </row>
    <row r="523" spans="26:60" ht="12.75">
      <c r="Z523" s="78" t="s">
        <v>979</v>
      </c>
      <c r="AA523" s="78">
        <v>15</v>
      </c>
      <c r="AB523" s="78">
        <v>7</v>
      </c>
      <c r="AC523" s="78">
        <v>7</v>
      </c>
      <c r="AD523" s="78">
        <v>100</v>
      </c>
      <c r="AE523" s="84">
        <v>0.03</v>
      </c>
      <c r="AF523" s="78">
        <v>9</v>
      </c>
      <c r="AG523" s="78">
        <v>1</v>
      </c>
      <c r="AH523" s="84">
        <v>0.05</v>
      </c>
      <c r="AI523" s="78">
        <v>0</v>
      </c>
      <c r="AJ523" s="84">
        <v>0</v>
      </c>
      <c r="AK523" s="78">
        <v>0</v>
      </c>
      <c r="AL523" s="84">
        <v>0</v>
      </c>
      <c r="AM523" s="78">
        <v>0</v>
      </c>
      <c r="AN523" s="84">
        <v>0</v>
      </c>
      <c r="AO523" s="78">
        <v>1</v>
      </c>
      <c r="AP523" s="84">
        <v>0.05</v>
      </c>
      <c r="AQ523" s="84">
        <v>0.5</v>
      </c>
      <c r="AR523" s="84">
        <v>0.25</v>
      </c>
      <c r="AS523" s="84">
        <v>0</v>
      </c>
      <c r="AT523" s="84">
        <v>0</v>
      </c>
      <c r="AU523" s="102" t="s">
        <v>1008</v>
      </c>
      <c r="AV523" s="84">
        <v>0.8</v>
      </c>
      <c r="AW523" s="102">
        <v>3</v>
      </c>
      <c r="AX523" s="78" t="s">
        <v>829</v>
      </c>
      <c r="AY523" s="78" t="s">
        <v>1014</v>
      </c>
      <c r="AZ523" s="78" t="s">
        <v>1009</v>
      </c>
      <c r="BA523" s="84">
        <v>0.75</v>
      </c>
      <c r="BB523" s="78">
        <v>3</v>
      </c>
      <c r="BC523" s="78" t="s">
        <v>829</v>
      </c>
      <c r="BD523" s="78" t="s">
        <v>1011</v>
      </c>
      <c r="BE523" s="78" t="s">
        <v>285</v>
      </c>
      <c r="BF523" s="78" t="s">
        <v>285</v>
      </c>
      <c r="BG523" s="78" t="s">
        <v>285</v>
      </c>
      <c r="BH523" s="78" t="s">
        <v>285</v>
      </c>
    </row>
    <row r="524" spans="26:60" ht="12.75">
      <c r="Z524" s="78" t="s">
        <v>980</v>
      </c>
      <c r="AA524" s="78">
        <v>30</v>
      </c>
      <c r="AB524" s="78">
        <v>9</v>
      </c>
      <c r="AC524" s="78">
        <v>9</v>
      </c>
      <c r="AD524" s="78">
        <v>200</v>
      </c>
      <c r="AE524" s="84">
        <v>0.05</v>
      </c>
      <c r="AF524" s="78">
        <v>12</v>
      </c>
      <c r="AG524" s="78">
        <v>4</v>
      </c>
      <c r="AH524" s="84">
        <v>0.2</v>
      </c>
      <c r="AI524" s="78">
        <v>1</v>
      </c>
      <c r="AJ524" s="84">
        <v>0.05</v>
      </c>
      <c r="AK524" s="78">
        <v>0</v>
      </c>
      <c r="AL524" s="84">
        <v>0</v>
      </c>
      <c r="AM524" s="78">
        <v>0</v>
      </c>
      <c r="AN524" s="84">
        <v>0</v>
      </c>
      <c r="AO524" s="78">
        <v>4</v>
      </c>
      <c r="AP524" s="84">
        <v>0.2</v>
      </c>
      <c r="AQ524" s="84">
        <v>0.6</v>
      </c>
      <c r="AR524" s="84">
        <v>0.25</v>
      </c>
      <c r="AS524" s="84">
        <v>0</v>
      </c>
      <c r="AT524" s="84">
        <v>0.25</v>
      </c>
      <c r="AU524" s="102" t="s">
        <v>1008</v>
      </c>
      <c r="AV524" s="84">
        <v>0.9</v>
      </c>
      <c r="AW524" s="102">
        <v>3</v>
      </c>
      <c r="AX524" s="78" t="s">
        <v>741</v>
      </c>
      <c r="AY524" s="78" t="s">
        <v>1014</v>
      </c>
      <c r="AZ524" s="78" t="s">
        <v>1009</v>
      </c>
      <c r="BA524" s="84">
        <v>0.9</v>
      </c>
      <c r="BB524" s="78">
        <v>3</v>
      </c>
      <c r="BC524" s="78" t="s">
        <v>741</v>
      </c>
      <c r="BD524" s="78" t="s">
        <v>1016</v>
      </c>
      <c r="BE524" s="78" t="s">
        <v>285</v>
      </c>
      <c r="BF524" s="78" t="s">
        <v>285</v>
      </c>
      <c r="BG524" s="78" t="s">
        <v>285</v>
      </c>
      <c r="BH524" s="78" t="s">
        <v>285</v>
      </c>
    </row>
    <row r="525" spans="26:60" ht="12.75">
      <c r="Z525" s="78" t="s">
        <v>981</v>
      </c>
      <c r="AA525" s="78">
        <v>20</v>
      </c>
      <c r="AB525" s="78">
        <v>7</v>
      </c>
      <c r="AC525" s="78">
        <v>7</v>
      </c>
      <c r="AD525" s="78">
        <v>200</v>
      </c>
      <c r="AE525" s="84">
        <v>0.04</v>
      </c>
      <c r="AF525" s="78">
        <v>10</v>
      </c>
      <c r="AG525" s="78">
        <v>1</v>
      </c>
      <c r="AH525" s="84">
        <v>0.05</v>
      </c>
      <c r="AI525" s="78">
        <v>0</v>
      </c>
      <c r="AJ525" s="84">
        <v>0</v>
      </c>
      <c r="AK525" s="78">
        <v>0</v>
      </c>
      <c r="AL525" s="84">
        <v>0</v>
      </c>
      <c r="AM525" s="78">
        <v>0</v>
      </c>
      <c r="AN525" s="84">
        <v>0</v>
      </c>
      <c r="AO525" s="78">
        <v>1</v>
      </c>
      <c r="AP525" s="84">
        <v>0.05</v>
      </c>
      <c r="AQ525" s="84">
        <v>0.5</v>
      </c>
      <c r="AR525" s="84">
        <v>0.3</v>
      </c>
      <c r="AS525" s="84">
        <v>0</v>
      </c>
      <c r="AT525" s="84">
        <v>0.1</v>
      </c>
      <c r="AU525" s="102" t="s">
        <v>1008</v>
      </c>
      <c r="AV525" s="84">
        <v>0.75</v>
      </c>
      <c r="AW525" s="102">
        <v>3</v>
      </c>
      <c r="AX525" s="78" t="s">
        <v>1017</v>
      </c>
      <c r="AY525" s="78" t="s">
        <v>1014</v>
      </c>
      <c r="AZ525" s="78" t="s">
        <v>1009</v>
      </c>
      <c r="BA525" s="84">
        <v>0.75</v>
      </c>
      <c r="BB525" s="78">
        <v>3</v>
      </c>
      <c r="BC525" s="78" t="s">
        <v>1017</v>
      </c>
      <c r="BD525" s="78" t="s">
        <v>1011</v>
      </c>
      <c r="BE525" s="78" t="s">
        <v>285</v>
      </c>
      <c r="BF525" s="78" t="s">
        <v>285</v>
      </c>
      <c r="BG525" s="78" t="s">
        <v>285</v>
      </c>
      <c r="BH525" s="78" t="s">
        <v>285</v>
      </c>
    </row>
    <row r="526" spans="26:60" ht="12.75">
      <c r="Z526" s="78" t="s">
        <v>982</v>
      </c>
      <c r="AA526" s="78">
        <v>30</v>
      </c>
      <c r="AB526" s="78">
        <v>9</v>
      </c>
      <c r="AC526" s="78">
        <v>9</v>
      </c>
      <c r="AD526" s="78">
        <v>450</v>
      </c>
      <c r="AE526" s="84">
        <v>0.06</v>
      </c>
      <c r="AF526" s="78">
        <v>14</v>
      </c>
      <c r="AG526" s="78">
        <v>4</v>
      </c>
      <c r="AH526" s="84">
        <v>0.25</v>
      </c>
      <c r="AI526" s="78">
        <v>0</v>
      </c>
      <c r="AJ526" s="84">
        <v>0</v>
      </c>
      <c r="AK526" s="78">
        <v>2</v>
      </c>
      <c r="AL526" s="84">
        <v>0.1</v>
      </c>
      <c r="AM526" s="78">
        <v>0</v>
      </c>
      <c r="AN526" s="84">
        <v>0</v>
      </c>
      <c r="AO526" s="78">
        <v>4</v>
      </c>
      <c r="AP526" s="84">
        <v>0.25</v>
      </c>
      <c r="AQ526" s="84">
        <v>0.7</v>
      </c>
      <c r="AR526" s="84">
        <v>0.45</v>
      </c>
      <c r="AS526" s="84">
        <v>0</v>
      </c>
      <c r="AT526" s="84">
        <v>0.2</v>
      </c>
      <c r="AU526" s="102" t="s">
        <v>1008</v>
      </c>
      <c r="AV526" s="84">
        <v>0.9</v>
      </c>
      <c r="AW526" s="102">
        <v>3</v>
      </c>
      <c r="AX526" s="78" t="s">
        <v>1018</v>
      </c>
      <c r="AY526" s="78" t="s">
        <v>1014</v>
      </c>
      <c r="AZ526" s="78" t="s">
        <v>1009</v>
      </c>
      <c r="BA526" s="84">
        <v>0.75</v>
      </c>
      <c r="BB526" s="78">
        <v>3</v>
      </c>
      <c r="BC526" s="78" t="s">
        <v>1018</v>
      </c>
      <c r="BD526" s="78" t="s">
        <v>1016</v>
      </c>
      <c r="BE526" s="78" t="s">
        <v>285</v>
      </c>
      <c r="BF526" s="78" t="s">
        <v>285</v>
      </c>
      <c r="BG526" s="78" t="s">
        <v>285</v>
      </c>
      <c r="BH526" s="78" t="s">
        <v>285</v>
      </c>
    </row>
    <row r="527" spans="26:60" ht="12.75">
      <c r="Z527" s="78" t="s">
        <v>985</v>
      </c>
      <c r="AA527" s="78">
        <v>15</v>
      </c>
      <c r="AB527" s="78">
        <v>6</v>
      </c>
      <c r="AC527" s="78">
        <v>6</v>
      </c>
      <c r="AD527" s="78">
        <v>50</v>
      </c>
      <c r="AE527" s="84">
        <v>0.04</v>
      </c>
      <c r="AF527" s="78">
        <v>5</v>
      </c>
      <c r="AG527" s="78">
        <v>3</v>
      </c>
      <c r="AH527" s="84">
        <v>0.3</v>
      </c>
      <c r="AI527" s="78">
        <v>0</v>
      </c>
      <c r="AJ527" s="84">
        <v>0</v>
      </c>
      <c r="AK527" s="78">
        <v>0</v>
      </c>
      <c r="AL527" s="84">
        <v>0</v>
      </c>
      <c r="AM527" s="78">
        <v>0</v>
      </c>
      <c r="AN527" s="84">
        <v>0</v>
      </c>
      <c r="AO527" s="78">
        <v>0</v>
      </c>
      <c r="AP527" s="84">
        <v>0</v>
      </c>
      <c r="AQ527" s="84">
        <v>1</v>
      </c>
      <c r="AR527" s="84">
        <v>0.95</v>
      </c>
      <c r="AS527" s="84">
        <v>0.8</v>
      </c>
      <c r="AT527" s="84">
        <v>1</v>
      </c>
      <c r="AU527" s="102" t="s">
        <v>1019</v>
      </c>
      <c r="AV527" s="84">
        <v>0.6</v>
      </c>
      <c r="AW527" s="102">
        <v>3</v>
      </c>
      <c r="AX527" s="78" t="s">
        <v>741</v>
      </c>
      <c r="AY527" s="78" t="s">
        <v>1016</v>
      </c>
      <c r="BA527" s="84"/>
      <c r="BE527" s="78" t="s">
        <v>285</v>
      </c>
      <c r="BF527" s="78" t="s">
        <v>285</v>
      </c>
      <c r="BG527" s="78" t="s">
        <v>285</v>
      </c>
      <c r="BH527" s="78" t="s">
        <v>285</v>
      </c>
    </row>
    <row r="528" spans="26:60" ht="12.75">
      <c r="Z528" s="78" t="s">
        <v>1199</v>
      </c>
      <c r="AA528" s="78">
        <v>40</v>
      </c>
      <c r="AB528" s="78">
        <v>5</v>
      </c>
      <c r="AC528" s="78">
        <v>7</v>
      </c>
      <c r="AD528" s="78">
        <v>120</v>
      </c>
      <c r="AE528" s="84">
        <v>0.04</v>
      </c>
      <c r="AF528" s="78">
        <v>8</v>
      </c>
      <c r="AG528" s="78">
        <v>3</v>
      </c>
      <c r="AH528" s="84">
        <v>0.35</v>
      </c>
      <c r="AI528" s="78">
        <v>0</v>
      </c>
      <c r="AJ528" s="84">
        <v>0</v>
      </c>
      <c r="AK528" s="78">
        <v>0</v>
      </c>
      <c r="AL528" s="84">
        <v>0.1</v>
      </c>
      <c r="AM528" s="78">
        <v>0</v>
      </c>
      <c r="AN528" s="84">
        <v>0</v>
      </c>
      <c r="AO528" s="78">
        <v>1</v>
      </c>
      <c r="AP528" s="84">
        <v>0.1</v>
      </c>
      <c r="AQ528" s="84">
        <v>1</v>
      </c>
      <c r="AR528" s="84">
        <v>0.95</v>
      </c>
      <c r="AS528" s="84">
        <v>0.8</v>
      </c>
      <c r="AT528" s="84">
        <v>1</v>
      </c>
      <c r="AU528" s="102" t="s">
        <v>1019</v>
      </c>
      <c r="AV528" s="84">
        <v>0.8</v>
      </c>
      <c r="AW528" s="102">
        <v>3</v>
      </c>
      <c r="AX528" s="78" t="s">
        <v>1020</v>
      </c>
      <c r="AY528" s="78" t="s">
        <v>1016</v>
      </c>
      <c r="AZ528" s="78" t="s">
        <v>1021</v>
      </c>
      <c r="BA528" s="84">
        <v>0.6</v>
      </c>
      <c r="BB528" s="78">
        <v>3</v>
      </c>
      <c r="BC528" s="78" t="s">
        <v>1022</v>
      </c>
      <c r="BD528" s="78" t="s">
        <v>1023</v>
      </c>
      <c r="BE528" s="78" t="s">
        <v>285</v>
      </c>
      <c r="BF528" s="78" t="s">
        <v>285</v>
      </c>
      <c r="BG528" s="78" t="s">
        <v>285</v>
      </c>
      <c r="BH528" s="78" t="s">
        <v>285</v>
      </c>
    </row>
    <row r="529" spans="26:60" ht="12.75">
      <c r="Z529" s="78" t="s">
        <v>986</v>
      </c>
      <c r="AA529" s="78">
        <v>135</v>
      </c>
      <c r="AB529" s="78">
        <v>6</v>
      </c>
      <c r="AC529" s="78">
        <v>8</v>
      </c>
      <c r="AD529" s="78">
        <v>500</v>
      </c>
      <c r="AE529" s="84">
        <v>0.04</v>
      </c>
      <c r="AF529" s="78">
        <v>8</v>
      </c>
      <c r="AG529" s="78">
        <v>4</v>
      </c>
      <c r="AH529" s="84">
        <v>0.35</v>
      </c>
      <c r="AI529" s="78">
        <v>2</v>
      </c>
      <c r="AJ529" s="84">
        <v>0.2</v>
      </c>
      <c r="AK529" s="78">
        <v>2</v>
      </c>
      <c r="AL529" s="84">
        <v>0.2</v>
      </c>
      <c r="AM529" s="78">
        <v>2</v>
      </c>
      <c r="AN529" s="84">
        <v>0.1</v>
      </c>
      <c r="AO529" s="78">
        <v>2</v>
      </c>
      <c r="AP529" s="84">
        <v>0.2</v>
      </c>
      <c r="AQ529" s="84">
        <v>1</v>
      </c>
      <c r="AR529" s="84">
        <v>1</v>
      </c>
      <c r="AS529" s="84">
        <v>1</v>
      </c>
      <c r="AT529" s="84">
        <v>1</v>
      </c>
      <c r="AU529" s="102" t="s">
        <v>1019</v>
      </c>
      <c r="AV529" s="84">
        <v>0.8</v>
      </c>
      <c r="AW529" s="102">
        <v>3</v>
      </c>
      <c r="AX529" s="78" t="s">
        <v>836</v>
      </c>
      <c r="AY529" s="78" t="s">
        <v>1016</v>
      </c>
      <c r="AZ529" s="78" t="s">
        <v>1021</v>
      </c>
      <c r="BA529" s="84">
        <v>0.6</v>
      </c>
      <c r="BB529" s="78">
        <v>3</v>
      </c>
      <c r="BC529" s="78" t="s">
        <v>1024</v>
      </c>
      <c r="BD529" s="78" t="s">
        <v>1025</v>
      </c>
      <c r="BE529" s="78" t="s">
        <v>285</v>
      </c>
      <c r="BF529" s="78" t="s">
        <v>285</v>
      </c>
      <c r="BG529" s="78" t="s">
        <v>285</v>
      </c>
      <c r="BH529" s="78" t="s">
        <v>285</v>
      </c>
    </row>
    <row r="530" spans="26:60" ht="12.75">
      <c r="Z530" s="78" t="s">
        <v>1200</v>
      </c>
      <c r="AA530" s="78">
        <v>15</v>
      </c>
      <c r="AB530" s="78">
        <v>6</v>
      </c>
      <c r="AC530" s="78">
        <v>6</v>
      </c>
      <c r="AD530" s="78">
        <v>50</v>
      </c>
      <c r="AE530" s="84">
        <v>0.03</v>
      </c>
      <c r="AF530" s="78">
        <v>2</v>
      </c>
      <c r="AG530" s="78">
        <v>0</v>
      </c>
      <c r="AH530" s="84">
        <v>0</v>
      </c>
      <c r="AI530" s="78">
        <v>0</v>
      </c>
      <c r="AJ530" s="84">
        <v>0</v>
      </c>
      <c r="AK530" s="78">
        <v>0</v>
      </c>
      <c r="AL530" s="84">
        <v>0</v>
      </c>
      <c r="AM530" s="78">
        <v>0</v>
      </c>
      <c r="AN530" s="84">
        <v>0</v>
      </c>
      <c r="AO530" s="78">
        <v>0</v>
      </c>
      <c r="AP530" s="84">
        <v>0</v>
      </c>
      <c r="AQ530" s="84">
        <v>1</v>
      </c>
      <c r="AR530" s="84">
        <v>0.6</v>
      </c>
      <c r="AS530" s="84">
        <v>0.6</v>
      </c>
      <c r="AT530" s="84">
        <v>0.9</v>
      </c>
      <c r="AU530" s="102" t="s">
        <v>1019</v>
      </c>
      <c r="AV530" s="84">
        <v>0.6</v>
      </c>
      <c r="AW530" s="102">
        <v>3</v>
      </c>
      <c r="AX530" s="78" t="s">
        <v>807</v>
      </c>
      <c r="AY530" s="78" t="s">
        <v>1011</v>
      </c>
      <c r="BA530" s="84"/>
      <c r="BE530" s="78" t="s">
        <v>285</v>
      </c>
      <c r="BF530" s="78" t="s">
        <v>285</v>
      </c>
      <c r="BG530" s="78" t="s">
        <v>285</v>
      </c>
      <c r="BH530" s="78" t="s">
        <v>285</v>
      </c>
    </row>
    <row r="531" spans="26:60" ht="12.75">
      <c r="Z531" s="78" t="s">
        <v>987</v>
      </c>
      <c r="AA531" s="78">
        <v>10</v>
      </c>
      <c r="AB531" s="78">
        <v>7</v>
      </c>
      <c r="AC531" s="78">
        <v>7</v>
      </c>
      <c r="AD531" s="78">
        <v>50</v>
      </c>
      <c r="AE531" s="84">
        <v>0.02</v>
      </c>
      <c r="AF531" s="78">
        <v>5</v>
      </c>
      <c r="AG531" s="78">
        <v>0</v>
      </c>
      <c r="AH531" s="84">
        <v>0</v>
      </c>
      <c r="AI531" s="78">
        <v>0</v>
      </c>
      <c r="AJ531" s="84">
        <v>0</v>
      </c>
      <c r="AK531" s="78">
        <v>0</v>
      </c>
      <c r="AL531" s="84">
        <v>0</v>
      </c>
      <c r="AM531" s="78">
        <v>0</v>
      </c>
      <c r="AN531" s="84">
        <v>0</v>
      </c>
      <c r="AO531" s="78">
        <v>0</v>
      </c>
      <c r="AP531" s="84">
        <v>0</v>
      </c>
      <c r="AQ531" s="84">
        <v>0.75</v>
      </c>
      <c r="AR531" s="84">
        <v>0.8</v>
      </c>
      <c r="AS531" s="84">
        <v>0.6</v>
      </c>
      <c r="AT531" s="84">
        <v>0.9</v>
      </c>
      <c r="AU531" s="102" t="s">
        <v>1019</v>
      </c>
      <c r="AV531" s="84">
        <v>0.7</v>
      </c>
      <c r="AW531" s="102">
        <v>3</v>
      </c>
      <c r="AX531" s="78" t="s">
        <v>807</v>
      </c>
      <c r="AY531" s="78" t="s">
        <v>1016</v>
      </c>
      <c r="AZ531" s="78" t="s">
        <v>1026</v>
      </c>
      <c r="BA531" s="84">
        <v>0.75</v>
      </c>
      <c r="BB531" s="78">
        <v>4</v>
      </c>
      <c r="BC531" s="78" t="s">
        <v>829</v>
      </c>
      <c r="BD531" s="78" t="s">
        <v>1014</v>
      </c>
      <c r="BE531" s="78" t="s">
        <v>285</v>
      </c>
      <c r="BF531" s="78" t="s">
        <v>285</v>
      </c>
      <c r="BG531" s="78" t="s">
        <v>285</v>
      </c>
      <c r="BH531" s="78" t="s">
        <v>285</v>
      </c>
    </row>
    <row r="532" spans="26:60" ht="12.75">
      <c r="Z532" s="78" t="s">
        <v>988</v>
      </c>
      <c r="AA532" s="78">
        <v>20</v>
      </c>
      <c r="AB532" s="78">
        <v>10</v>
      </c>
      <c r="AC532" s="78">
        <v>12</v>
      </c>
      <c r="AD532" s="78">
        <v>100</v>
      </c>
      <c r="AE532" s="84">
        <v>0.04</v>
      </c>
      <c r="AF532" s="78">
        <v>50</v>
      </c>
      <c r="AG532" s="78">
        <v>0</v>
      </c>
      <c r="AH532" s="84">
        <v>0</v>
      </c>
      <c r="AI532" s="78">
        <v>0</v>
      </c>
      <c r="AJ532" s="84">
        <v>0</v>
      </c>
      <c r="AK532" s="78">
        <v>0</v>
      </c>
      <c r="AL532" s="84">
        <v>0</v>
      </c>
      <c r="AM532" s="78">
        <v>0</v>
      </c>
      <c r="AN532" s="84">
        <v>0</v>
      </c>
      <c r="AO532" s="78">
        <v>0</v>
      </c>
      <c r="AP532" s="84">
        <v>0</v>
      </c>
      <c r="AQ532" s="84">
        <v>0.5</v>
      </c>
      <c r="AR532" s="84">
        <v>0.2</v>
      </c>
      <c r="AS532" s="84">
        <v>0.5</v>
      </c>
      <c r="AT532" s="84">
        <v>0.7</v>
      </c>
      <c r="AU532" s="102" t="s">
        <v>1027</v>
      </c>
      <c r="AV532" s="84">
        <v>0.8</v>
      </c>
      <c r="AW532" s="102">
        <v>4</v>
      </c>
      <c r="AX532" s="78" t="s">
        <v>741</v>
      </c>
      <c r="AY532" s="78" t="s">
        <v>1023</v>
      </c>
      <c r="BA532" s="84"/>
      <c r="BE532" s="78" t="s">
        <v>285</v>
      </c>
      <c r="BF532" s="78" t="s">
        <v>285</v>
      </c>
      <c r="BG532" s="78" t="s">
        <v>285</v>
      </c>
      <c r="BH532" s="78" t="s">
        <v>285</v>
      </c>
    </row>
    <row r="533" spans="26:60" ht="12.75">
      <c r="Z533" s="78" t="s">
        <v>989</v>
      </c>
      <c r="AA533" s="78">
        <v>40</v>
      </c>
      <c r="AB533" s="78">
        <v>6</v>
      </c>
      <c r="AC533" s="78">
        <v>6</v>
      </c>
      <c r="AD533" s="78">
        <v>50</v>
      </c>
      <c r="AE533" s="84">
        <v>0.02</v>
      </c>
      <c r="AF533" s="78">
        <v>5</v>
      </c>
      <c r="AG533" s="78">
        <v>2</v>
      </c>
      <c r="AH533" s="84">
        <v>0.1</v>
      </c>
      <c r="AI533" s="78">
        <v>0</v>
      </c>
      <c r="AJ533" s="84">
        <v>0</v>
      </c>
      <c r="AK533" s="78">
        <v>0</v>
      </c>
      <c r="AL533" s="84">
        <v>0</v>
      </c>
      <c r="AM533" s="78">
        <v>0</v>
      </c>
      <c r="AN533" s="84">
        <v>0</v>
      </c>
      <c r="AO533" s="78">
        <v>2</v>
      </c>
      <c r="AP533" s="84">
        <v>0.1</v>
      </c>
      <c r="AQ533" s="84">
        <v>0.2</v>
      </c>
      <c r="AR533" s="84">
        <v>0.3</v>
      </c>
      <c r="AS533" s="84">
        <v>0</v>
      </c>
      <c r="AT533" s="84">
        <v>0.1</v>
      </c>
      <c r="AU533" s="102" t="s">
        <v>1028</v>
      </c>
      <c r="AV533" s="84">
        <v>0.75</v>
      </c>
      <c r="AW533" s="102">
        <v>3</v>
      </c>
      <c r="AX533" s="78" t="s">
        <v>837</v>
      </c>
      <c r="AY533" s="78" t="s">
        <v>1014</v>
      </c>
      <c r="BA533" s="84"/>
      <c r="BE533" s="78" t="s">
        <v>285</v>
      </c>
      <c r="BF533" s="78" t="s">
        <v>285</v>
      </c>
      <c r="BG533" s="78" t="s">
        <v>285</v>
      </c>
      <c r="BH533" s="78" t="s">
        <v>285</v>
      </c>
    </row>
    <row r="534" spans="26:60" ht="12.75">
      <c r="Z534" s="78" t="s">
        <v>990</v>
      </c>
      <c r="AA534" s="78">
        <v>60</v>
      </c>
      <c r="AB534" s="78">
        <v>9</v>
      </c>
      <c r="AC534" s="78">
        <v>9</v>
      </c>
      <c r="AD534" s="78">
        <v>500</v>
      </c>
      <c r="AE534" s="84">
        <v>0.08</v>
      </c>
      <c r="AF534" s="78">
        <v>20</v>
      </c>
      <c r="AG534" s="78">
        <v>10</v>
      </c>
      <c r="AH534" s="84">
        <v>0.95</v>
      </c>
      <c r="AI534" s="78">
        <v>1</v>
      </c>
      <c r="AJ534" s="84">
        <v>0.1</v>
      </c>
      <c r="AK534" s="78">
        <v>5</v>
      </c>
      <c r="AL534" s="84">
        <v>0.4</v>
      </c>
      <c r="AM534" s="78">
        <v>1</v>
      </c>
      <c r="AN534" s="84">
        <v>0.1</v>
      </c>
      <c r="AO534" s="78">
        <v>10</v>
      </c>
      <c r="AP534" s="84">
        <v>0.9</v>
      </c>
      <c r="AQ534" s="84">
        <v>0.8</v>
      </c>
      <c r="AR534" s="84">
        <v>0.8</v>
      </c>
      <c r="AS534" s="84">
        <v>1</v>
      </c>
      <c r="AT534" s="84">
        <v>0.9</v>
      </c>
      <c r="AU534" s="102" t="s">
        <v>1029</v>
      </c>
      <c r="AV534" s="84">
        <v>0.8</v>
      </c>
      <c r="AW534" s="102">
        <v>3</v>
      </c>
      <c r="AX534" s="78" t="s">
        <v>828</v>
      </c>
      <c r="AY534" s="78" t="s">
        <v>1014</v>
      </c>
      <c r="BA534" s="84"/>
      <c r="BE534" s="78" t="s">
        <v>285</v>
      </c>
      <c r="BF534" s="78" t="s">
        <v>285</v>
      </c>
      <c r="BG534" s="78" t="s">
        <v>285</v>
      </c>
      <c r="BH534" s="78" t="s">
        <v>285</v>
      </c>
    </row>
    <row r="535" spans="26:60" ht="12.75">
      <c r="Z535" s="78" t="s">
        <v>991</v>
      </c>
      <c r="AA535" s="78">
        <v>60</v>
      </c>
      <c r="AB535" s="78">
        <v>9</v>
      </c>
      <c r="AC535" s="78">
        <v>9</v>
      </c>
      <c r="AD535" s="78">
        <v>600</v>
      </c>
      <c r="AE535" s="84">
        <v>0.07</v>
      </c>
      <c r="AF535" s="78">
        <v>20</v>
      </c>
      <c r="AG535" s="78">
        <v>10</v>
      </c>
      <c r="AH535" s="84">
        <v>0.95</v>
      </c>
      <c r="AI535" s="78">
        <v>1</v>
      </c>
      <c r="AJ535" s="84">
        <v>0.1</v>
      </c>
      <c r="AK535" s="78">
        <v>5</v>
      </c>
      <c r="AL535" s="84">
        <v>0.4</v>
      </c>
      <c r="AM535" s="78">
        <v>1</v>
      </c>
      <c r="AN535" s="84">
        <v>0.1</v>
      </c>
      <c r="AO535" s="78">
        <v>10</v>
      </c>
      <c r="AP535" s="84">
        <v>0.9</v>
      </c>
      <c r="AQ535" s="84">
        <v>0.9</v>
      </c>
      <c r="AR535" s="84">
        <v>0.8</v>
      </c>
      <c r="AS535" s="84">
        <v>1</v>
      </c>
      <c r="AT535" s="84">
        <v>1</v>
      </c>
      <c r="AU535" s="102" t="s">
        <v>1029</v>
      </c>
      <c r="AV535" s="84">
        <v>0.9</v>
      </c>
      <c r="AW535" s="102">
        <v>3</v>
      </c>
      <c r="AX535" s="78" t="s">
        <v>1030</v>
      </c>
      <c r="AY535" s="78" t="s">
        <v>1014</v>
      </c>
      <c r="BA535" s="84"/>
      <c r="BE535" s="78" t="s">
        <v>285</v>
      </c>
      <c r="BF535" s="78" t="s">
        <v>285</v>
      </c>
      <c r="BG535" s="78" t="s">
        <v>285</v>
      </c>
      <c r="BH535" s="78" t="s">
        <v>285</v>
      </c>
    </row>
    <row r="536" spans="26:60" ht="12.75">
      <c r="Z536" s="78" t="s">
        <v>992</v>
      </c>
      <c r="AA536" s="78">
        <v>60</v>
      </c>
      <c r="AB536" s="78">
        <v>9</v>
      </c>
      <c r="AC536" s="78">
        <v>9</v>
      </c>
      <c r="AD536" s="78">
        <v>750</v>
      </c>
      <c r="AE536" s="84">
        <v>0.08</v>
      </c>
      <c r="AF536" s="78">
        <v>25</v>
      </c>
      <c r="AG536" s="78">
        <v>10</v>
      </c>
      <c r="AH536" s="84">
        <v>0.95</v>
      </c>
      <c r="AI536" s="78">
        <v>1</v>
      </c>
      <c r="AJ536" s="84">
        <v>0.1</v>
      </c>
      <c r="AK536" s="78">
        <v>5</v>
      </c>
      <c r="AL536" s="84">
        <v>0.4</v>
      </c>
      <c r="AM536" s="78">
        <v>1</v>
      </c>
      <c r="AN536" s="84">
        <v>0.1</v>
      </c>
      <c r="AO536" s="78">
        <v>10</v>
      </c>
      <c r="AP536" s="84">
        <v>0.9</v>
      </c>
      <c r="AQ536" s="84">
        <v>0.95</v>
      </c>
      <c r="AR536" s="84">
        <v>1</v>
      </c>
      <c r="AS536" s="84">
        <v>1</v>
      </c>
      <c r="AT536" s="84">
        <v>1</v>
      </c>
      <c r="AU536" s="102" t="s">
        <v>1031</v>
      </c>
      <c r="AV536" s="84">
        <v>0.9</v>
      </c>
      <c r="AW536" s="102">
        <v>3</v>
      </c>
      <c r="AX536" s="78" t="s">
        <v>837</v>
      </c>
      <c r="AY536" s="78" t="s">
        <v>1014</v>
      </c>
      <c r="AZ536" s="78" t="s">
        <v>1009</v>
      </c>
      <c r="BA536" s="84">
        <v>0.9</v>
      </c>
      <c r="BB536" s="78">
        <v>3</v>
      </c>
      <c r="BC536" s="78" t="s">
        <v>837</v>
      </c>
      <c r="BD536" s="78" t="s">
        <v>1023</v>
      </c>
      <c r="BE536" s="78" t="s">
        <v>285</v>
      </c>
      <c r="BF536" s="78" t="s">
        <v>285</v>
      </c>
      <c r="BG536" s="78" t="s">
        <v>285</v>
      </c>
      <c r="BH536" s="78" t="s">
        <v>285</v>
      </c>
    </row>
    <row r="537" spans="26:60" ht="12.75">
      <c r="Z537" s="78" t="s">
        <v>993</v>
      </c>
      <c r="AA537" s="78">
        <v>60</v>
      </c>
      <c r="AB537" s="78">
        <v>9</v>
      </c>
      <c r="AC537" s="78">
        <v>9</v>
      </c>
      <c r="AD537" s="78">
        <v>750</v>
      </c>
      <c r="AE537" s="84">
        <v>0.08</v>
      </c>
      <c r="AF537" s="78">
        <v>25</v>
      </c>
      <c r="AG537" s="78">
        <v>10</v>
      </c>
      <c r="AH537" s="84">
        <v>0.95</v>
      </c>
      <c r="AI537" s="78">
        <v>1</v>
      </c>
      <c r="AJ537" s="84">
        <v>0.1</v>
      </c>
      <c r="AK537" s="78">
        <v>5</v>
      </c>
      <c r="AL537" s="84">
        <v>0.4</v>
      </c>
      <c r="AM537" s="78">
        <v>1</v>
      </c>
      <c r="AN537" s="84">
        <v>0.1</v>
      </c>
      <c r="AO537" s="78">
        <v>10</v>
      </c>
      <c r="AP537" s="84">
        <v>0.9</v>
      </c>
      <c r="AQ537" s="84">
        <v>0.5</v>
      </c>
      <c r="AR537" s="84">
        <v>0.8</v>
      </c>
      <c r="AS537" s="84">
        <v>0.4</v>
      </c>
      <c r="AT537" s="84">
        <v>0.7</v>
      </c>
      <c r="AU537" s="102" t="s">
        <v>1032</v>
      </c>
      <c r="AV537" s="84">
        <v>0.9</v>
      </c>
      <c r="AW537" s="102">
        <v>3</v>
      </c>
      <c r="AX537" s="78" t="s">
        <v>1033</v>
      </c>
      <c r="AY537" s="78" t="s">
        <v>1014</v>
      </c>
      <c r="BA537" s="84"/>
      <c r="BE537" s="78" t="s">
        <v>285</v>
      </c>
      <c r="BF537" s="78" t="s">
        <v>285</v>
      </c>
      <c r="BG537" s="78" t="s">
        <v>285</v>
      </c>
      <c r="BH537" s="78" t="s">
        <v>285</v>
      </c>
    </row>
    <row r="538" spans="26:60" ht="12.75">
      <c r="Z538" s="78" t="s">
        <v>994</v>
      </c>
      <c r="AA538" s="78">
        <v>25</v>
      </c>
      <c r="AB538" s="78">
        <v>8</v>
      </c>
      <c r="AC538" s="78">
        <v>8</v>
      </c>
      <c r="AD538" s="78">
        <v>200</v>
      </c>
      <c r="AE538" s="84">
        <v>0.04</v>
      </c>
      <c r="AF538" s="78">
        <v>7</v>
      </c>
      <c r="AG538" s="78">
        <v>1</v>
      </c>
      <c r="AH538" s="84">
        <v>0.05</v>
      </c>
      <c r="AI538" s="78">
        <v>0</v>
      </c>
      <c r="AJ538" s="84">
        <v>0</v>
      </c>
      <c r="AK538" s="78">
        <v>4</v>
      </c>
      <c r="AL538" s="84">
        <v>0.2</v>
      </c>
      <c r="AM538" s="78">
        <v>0</v>
      </c>
      <c r="AN538" s="84">
        <v>0</v>
      </c>
      <c r="AO538" s="78">
        <v>1</v>
      </c>
      <c r="AP538" s="84">
        <v>0.05</v>
      </c>
      <c r="AQ538" s="84">
        <v>1</v>
      </c>
      <c r="AR538" s="84">
        <v>0.25</v>
      </c>
      <c r="AS538" s="84">
        <v>0.3</v>
      </c>
      <c r="AT538" s="84">
        <v>1</v>
      </c>
      <c r="AU538" s="102" t="s">
        <v>1034</v>
      </c>
      <c r="AV538" s="84">
        <v>0.7</v>
      </c>
      <c r="AW538" s="102">
        <v>4</v>
      </c>
      <c r="AX538" s="78" t="s">
        <v>741</v>
      </c>
      <c r="AY538" s="78" t="s">
        <v>1023</v>
      </c>
      <c r="BA538" s="84"/>
      <c r="BE538" s="78" t="s">
        <v>285</v>
      </c>
      <c r="BF538" s="78" t="s">
        <v>285</v>
      </c>
      <c r="BG538" s="78" t="s">
        <v>285</v>
      </c>
      <c r="BH538" s="78" t="s">
        <v>285</v>
      </c>
    </row>
    <row r="539" spans="26:60" ht="12.75">
      <c r="Z539" s="78" t="s">
        <v>995</v>
      </c>
      <c r="AA539" s="78">
        <v>35</v>
      </c>
      <c r="AB539" s="78">
        <v>8</v>
      </c>
      <c r="AC539" s="78">
        <v>8</v>
      </c>
      <c r="AD539" s="78">
        <v>400</v>
      </c>
      <c r="AE539" s="84">
        <v>0.05</v>
      </c>
      <c r="AF539" s="78">
        <v>10</v>
      </c>
      <c r="AG539" s="78">
        <v>1</v>
      </c>
      <c r="AH539" s="84">
        <v>0.05</v>
      </c>
      <c r="AI539" s="78">
        <v>0</v>
      </c>
      <c r="AJ539" s="84">
        <v>0</v>
      </c>
      <c r="AK539" s="78">
        <v>4</v>
      </c>
      <c r="AL539" s="84">
        <v>0.2</v>
      </c>
      <c r="AM539" s="78">
        <v>0</v>
      </c>
      <c r="AN539" s="84">
        <v>0</v>
      </c>
      <c r="AO539" s="78">
        <v>1</v>
      </c>
      <c r="AP539" s="84">
        <v>0.05</v>
      </c>
      <c r="AQ539" s="84">
        <v>1</v>
      </c>
      <c r="AR539" s="84">
        <v>0.5</v>
      </c>
      <c r="AS539" s="84">
        <v>0.5</v>
      </c>
      <c r="AT539" s="84">
        <v>1</v>
      </c>
      <c r="AU539" s="102" t="s">
        <v>1034</v>
      </c>
      <c r="AV539" s="84">
        <v>0.8</v>
      </c>
      <c r="AW539" s="102">
        <v>4</v>
      </c>
      <c r="AX539" s="78" t="s">
        <v>833</v>
      </c>
      <c r="AY539" s="78" t="s">
        <v>1023</v>
      </c>
      <c r="BA539" s="84"/>
      <c r="BE539" s="78" t="s">
        <v>285</v>
      </c>
      <c r="BF539" s="78" t="s">
        <v>285</v>
      </c>
      <c r="BG539" s="78" t="s">
        <v>285</v>
      </c>
      <c r="BH539" s="78" t="s">
        <v>285</v>
      </c>
    </row>
    <row r="540" spans="26:60" ht="12.75">
      <c r="Z540" s="78" t="s">
        <v>996</v>
      </c>
      <c r="AA540" s="78">
        <v>20</v>
      </c>
      <c r="AB540" s="78">
        <v>6</v>
      </c>
      <c r="AC540" s="78">
        <v>6</v>
      </c>
      <c r="AD540" s="78">
        <v>100</v>
      </c>
      <c r="AE540" s="84">
        <v>0.05</v>
      </c>
      <c r="AF540" s="78">
        <v>5</v>
      </c>
      <c r="AG540" s="78">
        <v>0</v>
      </c>
      <c r="AH540" s="84">
        <v>0</v>
      </c>
      <c r="AI540" s="78">
        <v>0</v>
      </c>
      <c r="AJ540" s="84">
        <v>0</v>
      </c>
      <c r="AK540" s="78">
        <v>0</v>
      </c>
      <c r="AL540" s="84">
        <v>0</v>
      </c>
      <c r="AM540" s="78">
        <v>0</v>
      </c>
      <c r="AN540" s="84">
        <v>0</v>
      </c>
      <c r="AO540" s="78">
        <v>0</v>
      </c>
      <c r="AP540" s="84">
        <v>0</v>
      </c>
      <c r="AQ540" s="84">
        <v>0.25</v>
      </c>
      <c r="AR540" s="84">
        <v>0.15</v>
      </c>
      <c r="AS540" s="84">
        <v>0</v>
      </c>
      <c r="AT540" s="84">
        <v>0</v>
      </c>
      <c r="AU540" s="102" t="s">
        <v>1009</v>
      </c>
      <c r="AV540" s="84">
        <v>0.8</v>
      </c>
      <c r="AW540" s="102">
        <v>3</v>
      </c>
      <c r="AX540" s="78" t="s">
        <v>1018</v>
      </c>
      <c r="AY540" s="78" t="s">
        <v>1014</v>
      </c>
      <c r="AZ540" s="78" t="s">
        <v>1008</v>
      </c>
      <c r="BA540" s="84">
        <v>0.7</v>
      </c>
      <c r="BB540" s="78">
        <v>4</v>
      </c>
      <c r="BC540" s="78" t="s">
        <v>829</v>
      </c>
      <c r="BD540" s="78" t="s">
        <v>1014</v>
      </c>
      <c r="BE540" s="78" t="s">
        <v>285</v>
      </c>
      <c r="BF540" s="78" t="s">
        <v>285</v>
      </c>
      <c r="BG540" s="78" t="s">
        <v>285</v>
      </c>
      <c r="BH540" s="78" t="s">
        <v>285</v>
      </c>
    </row>
    <row r="541" spans="26:60" ht="12.75">
      <c r="Z541" s="78" t="s">
        <v>997</v>
      </c>
      <c r="AA541" s="78">
        <v>60</v>
      </c>
      <c r="AB541" s="78">
        <v>9</v>
      </c>
      <c r="AC541" s="78">
        <v>9</v>
      </c>
      <c r="AD541" s="78">
        <v>700</v>
      </c>
      <c r="AE541" s="84">
        <v>0.07</v>
      </c>
      <c r="AF541" s="78">
        <v>9</v>
      </c>
      <c r="AG541" s="78">
        <v>5</v>
      </c>
      <c r="AH541" s="84">
        <v>0.4</v>
      </c>
      <c r="AI541" s="78">
        <v>0</v>
      </c>
      <c r="AJ541" s="84">
        <v>0</v>
      </c>
      <c r="AK541" s="78">
        <v>0</v>
      </c>
      <c r="AL541" s="84">
        <v>0</v>
      </c>
      <c r="AM541" s="78">
        <v>0</v>
      </c>
      <c r="AN541" s="84">
        <v>0</v>
      </c>
      <c r="AO541" s="78">
        <v>0</v>
      </c>
      <c r="AP541" s="84">
        <v>0</v>
      </c>
      <c r="AQ541" s="84">
        <v>0.4</v>
      </c>
      <c r="AR541" s="84">
        <v>0.2</v>
      </c>
      <c r="AS541" s="84">
        <v>0</v>
      </c>
      <c r="AT541" s="84">
        <v>0</v>
      </c>
      <c r="AU541" s="102" t="s">
        <v>1009</v>
      </c>
      <c r="AV541" s="84">
        <v>0.9</v>
      </c>
      <c r="AW541" s="102">
        <v>3</v>
      </c>
      <c r="AX541" s="78" t="s">
        <v>1035</v>
      </c>
      <c r="AY541" s="78" t="s">
        <v>1014</v>
      </c>
      <c r="AZ541" s="78" t="s">
        <v>1008</v>
      </c>
      <c r="BA541" s="84">
        <v>0.8</v>
      </c>
      <c r="BB541" s="78">
        <v>4</v>
      </c>
      <c r="BC541" s="78" t="s">
        <v>837</v>
      </c>
      <c r="BD541" s="78" t="s">
        <v>1124</v>
      </c>
      <c r="BE541" s="78" t="s">
        <v>285</v>
      </c>
      <c r="BF541" s="78" t="s">
        <v>285</v>
      </c>
      <c r="BG541" s="78" t="s">
        <v>285</v>
      </c>
      <c r="BH541" s="78" t="s">
        <v>285</v>
      </c>
    </row>
    <row r="542" spans="26:60" ht="12.75">
      <c r="Z542" s="78" t="s">
        <v>998</v>
      </c>
      <c r="AA542" s="78">
        <v>20</v>
      </c>
      <c r="AB542" s="78">
        <v>6</v>
      </c>
      <c r="AC542" s="78">
        <v>6</v>
      </c>
      <c r="AD542" s="78">
        <v>100</v>
      </c>
      <c r="AE542" s="84">
        <v>0.05</v>
      </c>
      <c r="AF542" s="78">
        <v>3</v>
      </c>
      <c r="AG542" s="78">
        <v>0</v>
      </c>
      <c r="AH542" s="84">
        <v>0</v>
      </c>
      <c r="AI542" s="78">
        <v>0</v>
      </c>
      <c r="AJ542" s="84">
        <v>0</v>
      </c>
      <c r="AK542" s="78">
        <v>0</v>
      </c>
      <c r="AL542" s="84">
        <v>0</v>
      </c>
      <c r="AM542" s="78">
        <v>0</v>
      </c>
      <c r="AN542" s="84">
        <v>0</v>
      </c>
      <c r="AO542" s="78">
        <v>0</v>
      </c>
      <c r="AP542" s="84">
        <v>0</v>
      </c>
      <c r="AQ542" s="84">
        <v>0.2</v>
      </c>
      <c r="AR542" s="84">
        <v>0.1</v>
      </c>
      <c r="AS542" s="84">
        <v>0</v>
      </c>
      <c r="AT542" s="84">
        <v>0</v>
      </c>
      <c r="AU542" s="102" t="s">
        <v>1009</v>
      </c>
      <c r="AV542" s="84">
        <v>0.7</v>
      </c>
      <c r="AW542" s="102">
        <v>3</v>
      </c>
      <c r="AX542" s="78" t="s">
        <v>829</v>
      </c>
      <c r="AY542" s="78" t="s">
        <v>1014</v>
      </c>
      <c r="BA542" s="84"/>
      <c r="BE542" s="78" t="s">
        <v>285</v>
      </c>
      <c r="BF542" s="78" t="s">
        <v>285</v>
      </c>
      <c r="BG542" s="78" t="s">
        <v>285</v>
      </c>
      <c r="BH542" s="78" t="s">
        <v>285</v>
      </c>
    </row>
    <row r="543" spans="26:60" ht="12.75">
      <c r="Z543" s="78" t="s">
        <v>999</v>
      </c>
      <c r="AA543" s="78">
        <v>20</v>
      </c>
      <c r="AB543" s="78">
        <v>6</v>
      </c>
      <c r="AC543" s="78">
        <v>6</v>
      </c>
      <c r="AD543" s="78">
        <v>100</v>
      </c>
      <c r="AE543" s="84">
        <v>0.04</v>
      </c>
      <c r="AF543" s="78">
        <v>3</v>
      </c>
      <c r="AG543" s="78">
        <v>0</v>
      </c>
      <c r="AH543" s="84">
        <v>0</v>
      </c>
      <c r="AI543" s="78">
        <v>0</v>
      </c>
      <c r="AJ543" s="84">
        <v>0</v>
      </c>
      <c r="AK543" s="78">
        <v>0</v>
      </c>
      <c r="AL543" s="84">
        <v>0</v>
      </c>
      <c r="AM543" s="78">
        <v>0</v>
      </c>
      <c r="AN543" s="84">
        <v>0</v>
      </c>
      <c r="AO543" s="78">
        <v>0</v>
      </c>
      <c r="AP543" s="84">
        <v>0</v>
      </c>
      <c r="AQ543" s="84">
        <v>0.2</v>
      </c>
      <c r="AR543" s="84">
        <v>0.1</v>
      </c>
      <c r="AS543" s="84">
        <v>0</v>
      </c>
      <c r="AT543" s="84">
        <v>0</v>
      </c>
      <c r="AU543" s="102" t="s">
        <v>1009</v>
      </c>
      <c r="AV543" s="84">
        <v>0.7</v>
      </c>
      <c r="AW543" s="102">
        <v>3</v>
      </c>
      <c r="AX543" s="78" t="s">
        <v>829</v>
      </c>
      <c r="AY543" s="78" t="s">
        <v>1014</v>
      </c>
      <c r="BA543" s="84"/>
      <c r="BE543" s="78" t="s">
        <v>285</v>
      </c>
      <c r="BF543" s="78" t="s">
        <v>285</v>
      </c>
      <c r="BG543" s="78" t="s">
        <v>285</v>
      </c>
      <c r="BH543" s="78" t="s">
        <v>285</v>
      </c>
    </row>
    <row r="544" spans="26:60" ht="12.75">
      <c r="Z544" s="78" t="s">
        <v>128</v>
      </c>
      <c r="AA544" s="78">
        <v>20</v>
      </c>
      <c r="AB544" s="78">
        <v>6</v>
      </c>
      <c r="AC544" s="78">
        <v>6</v>
      </c>
      <c r="AD544" s="78">
        <v>100</v>
      </c>
      <c r="AE544" s="84">
        <v>0.03</v>
      </c>
      <c r="AF544" s="78">
        <v>5</v>
      </c>
      <c r="AG544" s="78">
        <v>0</v>
      </c>
      <c r="AH544" s="84">
        <v>0</v>
      </c>
      <c r="AI544" s="78">
        <v>0</v>
      </c>
      <c r="AJ544" s="84">
        <v>0</v>
      </c>
      <c r="AK544" s="78">
        <v>0</v>
      </c>
      <c r="AL544" s="84">
        <v>0</v>
      </c>
      <c r="AM544" s="78">
        <v>0</v>
      </c>
      <c r="AN544" s="84">
        <v>0</v>
      </c>
      <c r="AO544" s="78">
        <v>0</v>
      </c>
      <c r="AP544" s="84">
        <v>0</v>
      </c>
      <c r="AQ544" s="84">
        <v>0.18</v>
      </c>
      <c r="AR544" s="84">
        <v>0.08</v>
      </c>
      <c r="AS544" s="84">
        <v>0</v>
      </c>
      <c r="AT544" s="84">
        <v>0</v>
      </c>
      <c r="AU544" s="102" t="s">
        <v>1009</v>
      </c>
      <c r="AV544" s="84">
        <v>0.8</v>
      </c>
      <c r="AW544" s="102">
        <v>3</v>
      </c>
      <c r="AX544" s="78" t="s">
        <v>1018</v>
      </c>
      <c r="AY544" s="78" t="s">
        <v>1125</v>
      </c>
      <c r="BA544" s="84"/>
      <c r="BE544" s="78" t="s">
        <v>285</v>
      </c>
      <c r="BF544" s="78" t="s">
        <v>285</v>
      </c>
      <c r="BG544" s="78" t="s">
        <v>285</v>
      </c>
      <c r="BH544" s="78" t="s">
        <v>285</v>
      </c>
    </row>
    <row r="545" spans="26:60" ht="12.75">
      <c r="Z545" s="78" t="s">
        <v>1000</v>
      </c>
      <c r="AA545" s="78">
        <v>70</v>
      </c>
      <c r="AB545" s="78">
        <v>8</v>
      </c>
      <c r="AC545" s="78">
        <v>8</v>
      </c>
      <c r="AD545" s="78">
        <v>400</v>
      </c>
      <c r="AE545" s="84">
        <v>0.05</v>
      </c>
      <c r="AF545" s="78">
        <v>9</v>
      </c>
      <c r="AG545" s="78">
        <v>4</v>
      </c>
      <c r="AH545" s="84">
        <v>0.1</v>
      </c>
      <c r="AI545" s="78">
        <v>3</v>
      </c>
      <c r="AJ545" s="84">
        <v>0.1</v>
      </c>
      <c r="AK545" s="78">
        <v>0</v>
      </c>
      <c r="AL545" s="84">
        <v>0</v>
      </c>
      <c r="AM545" s="78">
        <v>3</v>
      </c>
      <c r="AN545" s="84">
        <v>0.05</v>
      </c>
      <c r="AO545" s="78">
        <v>2</v>
      </c>
      <c r="AP545" s="84">
        <v>0.1</v>
      </c>
      <c r="AQ545" s="84">
        <v>0.5</v>
      </c>
      <c r="AR545" s="84">
        <v>0.2</v>
      </c>
      <c r="AS545" s="84">
        <v>0</v>
      </c>
      <c r="AT545" s="84">
        <v>0.3</v>
      </c>
      <c r="AU545" s="102" t="s">
        <v>1008</v>
      </c>
      <c r="AV545" s="84">
        <v>0.6</v>
      </c>
      <c r="AW545" s="102">
        <v>3</v>
      </c>
      <c r="AX545" s="84" t="s">
        <v>837</v>
      </c>
      <c r="AY545" s="78" t="s">
        <v>1014</v>
      </c>
      <c r="AZ545" s="84" t="s">
        <v>1036</v>
      </c>
      <c r="BA545" s="84">
        <v>0.6</v>
      </c>
      <c r="BB545" s="78">
        <v>4</v>
      </c>
      <c r="BC545" s="84" t="s">
        <v>1020</v>
      </c>
      <c r="BD545" s="84" t="s">
        <v>1014</v>
      </c>
      <c r="BE545" s="78" t="s">
        <v>285</v>
      </c>
      <c r="BF545" s="78" t="s">
        <v>285</v>
      </c>
      <c r="BG545" s="78" t="s">
        <v>285</v>
      </c>
      <c r="BH545" s="78" t="s">
        <v>285</v>
      </c>
    </row>
    <row r="546" spans="26:60" ht="12.75">
      <c r="Z546" s="78" t="s">
        <v>1001</v>
      </c>
      <c r="AA546" s="78">
        <v>120</v>
      </c>
      <c r="AB546" s="78">
        <v>10</v>
      </c>
      <c r="AC546" s="78">
        <v>10</v>
      </c>
      <c r="AD546" s="78">
        <v>800</v>
      </c>
      <c r="AE546" s="84">
        <v>0.08</v>
      </c>
      <c r="AF546" s="78">
        <v>10</v>
      </c>
      <c r="AG546" s="78">
        <v>5</v>
      </c>
      <c r="AH546" s="84">
        <v>0.15</v>
      </c>
      <c r="AI546" s="78">
        <v>3</v>
      </c>
      <c r="AJ546" s="84">
        <v>0.1</v>
      </c>
      <c r="AK546" s="78">
        <v>0</v>
      </c>
      <c r="AL546" s="84">
        <v>0</v>
      </c>
      <c r="AM546" s="78">
        <v>3</v>
      </c>
      <c r="AN546" s="84">
        <v>0.1</v>
      </c>
      <c r="AO546" s="78">
        <v>2</v>
      </c>
      <c r="AP546" s="84">
        <v>0.1</v>
      </c>
      <c r="AQ546" s="84">
        <v>0.5</v>
      </c>
      <c r="AR546" s="84">
        <v>0.2</v>
      </c>
      <c r="AS546" s="84">
        <v>0</v>
      </c>
      <c r="AT546" s="84">
        <v>0.3</v>
      </c>
      <c r="AU546" s="102" t="s">
        <v>1008</v>
      </c>
      <c r="AV546" s="84">
        <v>0.8</v>
      </c>
      <c r="AW546" s="102">
        <v>3</v>
      </c>
      <c r="AX546" s="78" t="s">
        <v>1030</v>
      </c>
      <c r="AY546" s="78" t="s">
        <v>1014</v>
      </c>
      <c r="AZ546" s="78" t="s">
        <v>1036</v>
      </c>
      <c r="BA546" s="84">
        <v>0.8</v>
      </c>
      <c r="BB546" s="78">
        <v>4</v>
      </c>
      <c r="BC546" s="78" t="s">
        <v>836</v>
      </c>
      <c r="BD546" s="78" t="s">
        <v>1014</v>
      </c>
      <c r="BE546" s="78" t="s">
        <v>285</v>
      </c>
      <c r="BF546" s="78" t="s">
        <v>285</v>
      </c>
      <c r="BG546" s="78" t="s">
        <v>285</v>
      </c>
      <c r="BH546" s="78" t="s">
        <v>285</v>
      </c>
    </row>
    <row r="547" spans="26:60" ht="12.75">
      <c r="Z547" s="78" t="s">
        <v>1002</v>
      </c>
      <c r="AA547" s="78">
        <v>250</v>
      </c>
      <c r="AB547" s="78">
        <v>12</v>
      </c>
      <c r="AC547" s="78">
        <v>12</v>
      </c>
      <c r="AD547" s="78">
        <v>1000</v>
      </c>
      <c r="AE547" s="84">
        <v>0.15</v>
      </c>
      <c r="AF547" s="78">
        <v>5</v>
      </c>
      <c r="AG547" s="78">
        <v>5</v>
      </c>
      <c r="AH547" s="84">
        <v>0.3</v>
      </c>
      <c r="AI547" s="78">
        <v>3</v>
      </c>
      <c r="AJ547" s="84">
        <v>0.25</v>
      </c>
      <c r="AK547" s="78">
        <v>0</v>
      </c>
      <c r="AL547" s="84">
        <v>0</v>
      </c>
      <c r="AM547" s="78">
        <v>3</v>
      </c>
      <c r="AN547" s="84">
        <v>0.25</v>
      </c>
      <c r="AO547" s="78">
        <v>2</v>
      </c>
      <c r="AP547" s="84">
        <v>0.25</v>
      </c>
      <c r="AQ547" s="84">
        <v>0.8</v>
      </c>
      <c r="AR547" s="84">
        <v>0.8</v>
      </c>
      <c r="AS547" s="84">
        <v>0</v>
      </c>
      <c r="AT547" s="84">
        <v>0.2</v>
      </c>
      <c r="AU547" s="102" t="s">
        <v>1008</v>
      </c>
      <c r="AV547" s="84">
        <v>0.9</v>
      </c>
      <c r="AW547" s="102">
        <v>3</v>
      </c>
      <c r="AX547" s="78" t="s">
        <v>1037</v>
      </c>
      <c r="AY547" s="78" t="s">
        <v>1014</v>
      </c>
      <c r="AZ547" s="78" t="s">
        <v>1036</v>
      </c>
      <c r="BA547" s="84">
        <v>0.9</v>
      </c>
      <c r="BB547" s="78">
        <v>4</v>
      </c>
      <c r="BC547" s="78" t="s">
        <v>1038</v>
      </c>
      <c r="BD547" s="78" t="s">
        <v>1014</v>
      </c>
      <c r="BE547" s="78" t="s">
        <v>285</v>
      </c>
      <c r="BF547" s="78" t="s">
        <v>285</v>
      </c>
      <c r="BG547" s="78" t="s">
        <v>285</v>
      </c>
      <c r="BH547" s="78" t="s">
        <v>285</v>
      </c>
    </row>
    <row r="548" spans="26:60" ht="12.75">
      <c r="Z548" s="78" t="s">
        <v>1003</v>
      </c>
      <c r="AA548" s="78">
        <v>50</v>
      </c>
      <c r="AB548" s="78">
        <v>8</v>
      </c>
      <c r="AC548" s="78">
        <v>8</v>
      </c>
      <c r="AD548" s="78">
        <v>100</v>
      </c>
      <c r="AE548" s="84">
        <v>0.02</v>
      </c>
      <c r="AF548" s="78">
        <v>5</v>
      </c>
      <c r="AG548" s="78">
        <v>0</v>
      </c>
      <c r="AH548" s="84">
        <v>0</v>
      </c>
      <c r="AI548" s="78">
        <v>0</v>
      </c>
      <c r="AJ548" s="84">
        <v>0</v>
      </c>
      <c r="AK548" s="78">
        <v>0</v>
      </c>
      <c r="AL548" s="84">
        <v>0</v>
      </c>
      <c r="AM548" s="78">
        <v>0</v>
      </c>
      <c r="AN548" s="84">
        <v>0</v>
      </c>
      <c r="AO548" s="78">
        <v>0</v>
      </c>
      <c r="AP548" s="84">
        <v>0</v>
      </c>
      <c r="AQ548" s="84">
        <v>1</v>
      </c>
      <c r="AR548" s="84">
        <v>0.95</v>
      </c>
      <c r="AS548" s="84">
        <v>1</v>
      </c>
      <c r="AT548" s="84">
        <v>1</v>
      </c>
      <c r="AU548" s="102" t="s">
        <v>1039</v>
      </c>
      <c r="AV548" s="84">
        <v>0.75</v>
      </c>
      <c r="AW548" s="102">
        <v>4</v>
      </c>
      <c r="AX548" s="78" t="s">
        <v>807</v>
      </c>
      <c r="AY548" s="78" t="s">
        <v>1014</v>
      </c>
      <c r="BA548" s="84"/>
      <c r="BE548" s="78" t="s">
        <v>285</v>
      </c>
      <c r="BF548" s="78" t="s">
        <v>285</v>
      </c>
      <c r="BG548" s="78" t="s">
        <v>285</v>
      </c>
      <c r="BH548" s="78" t="s">
        <v>285</v>
      </c>
    </row>
    <row r="549" spans="26:60" ht="12.75">
      <c r="Z549" s="78" t="s">
        <v>1004</v>
      </c>
      <c r="AA549" s="78">
        <v>25</v>
      </c>
      <c r="AB549" s="78">
        <v>7</v>
      </c>
      <c r="AC549" s="78">
        <v>7</v>
      </c>
      <c r="AD549" s="78">
        <v>100</v>
      </c>
      <c r="AE549" s="84">
        <v>0.02</v>
      </c>
      <c r="AF549" s="78">
        <v>5</v>
      </c>
      <c r="AG549" s="78">
        <v>1</v>
      </c>
      <c r="AH549" s="84">
        <v>0.1</v>
      </c>
      <c r="AI549" s="78">
        <v>0</v>
      </c>
      <c r="AJ549" s="84">
        <v>0</v>
      </c>
      <c r="AK549" s="78">
        <v>0</v>
      </c>
      <c r="AL549" s="84">
        <v>0</v>
      </c>
      <c r="AM549" s="78">
        <v>0</v>
      </c>
      <c r="AN549" s="84">
        <v>0</v>
      </c>
      <c r="AO549" s="78">
        <v>0</v>
      </c>
      <c r="AP549" s="84">
        <v>0</v>
      </c>
      <c r="AQ549" s="84">
        <v>0.8</v>
      </c>
      <c r="AR549" s="84">
        <v>0.75</v>
      </c>
      <c r="AS549" s="84">
        <v>0</v>
      </c>
      <c r="AT549" s="84">
        <v>0.1</v>
      </c>
      <c r="AU549" s="102" t="s">
        <v>1008</v>
      </c>
      <c r="AV549" s="84">
        <v>0.85</v>
      </c>
      <c r="AW549" s="102">
        <v>3</v>
      </c>
      <c r="AX549" s="78" t="s">
        <v>833</v>
      </c>
      <c r="AY549" s="78" t="s">
        <v>1014</v>
      </c>
      <c r="AZ549" s="78" t="s">
        <v>1009</v>
      </c>
      <c r="BA549" s="84">
        <v>0.8</v>
      </c>
      <c r="BB549" s="78">
        <v>4</v>
      </c>
      <c r="BC549" s="78" t="s">
        <v>1033</v>
      </c>
      <c r="BD549" s="78" t="s">
        <v>1014</v>
      </c>
      <c r="BE549" s="78" t="s">
        <v>285</v>
      </c>
      <c r="BF549" s="78" t="s">
        <v>285</v>
      </c>
      <c r="BG549" s="78" t="s">
        <v>285</v>
      </c>
      <c r="BH549" s="78" t="s">
        <v>285</v>
      </c>
    </row>
    <row r="550" spans="26:60" ht="12.75">
      <c r="Z550" s="78" t="s">
        <v>1005</v>
      </c>
      <c r="AA550" s="78">
        <v>40</v>
      </c>
      <c r="AB550" s="78">
        <v>9</v>
      </c>
      <c r="AC550" s="78">
        <v>9</v>
      </c>
      <c r="AD550" s="78">
        <v>400</v>
      </c>
      <c r="AE550" s="84">
        <v>0.04</v>
      </c>
      <c r="AF550" s="78">
        <v>10</v>
      </c>
      <c r="AG550" s="78">
        <v>3</v>
      </c>
      <c r="AH550" s="84">
        <v>0.3</v>
      </c>
      <c r="AI550" s="78">
        <v>0</v>
      </c>
      <c r="AJ550" s="84">
        <v>0</v>
      </c>
      <c r="AK550" s="78">
        <v>5</v>
      </c>
      <c r="AL550" s="84">
        <v>0.8</v>
      </c>
      <c r="AM550" s="78">
        <v>0</v>
      </c>
      <c r="AN550" s="84">
        <v>0</v>
      </c>
      <c r="AO550" s="78">
        <v>2</v>
      </c>
      <c r="AP550" s="84">
        <v>0.15</v>
      </c>
      <c r="AQ550" s="84">
        <v>0.5</v>
      </c>
      <c r="AR550" s="84">
        <v>0.2</v>
      </c>
      <c r="AS550" s="84">
        <v>0</v>
      </c>
      <c r="AT550" s="84">
        <v>0.3</v>
      </c>
      <c r="AU550" s="102" t="s">
        <v>1008</v>
      </c>
      <c r="AV550" s="84">
        <v>0.75</v>
      </c>
      <c r="AW550" s="102">
        <v>3</v>
      </c>
      <c r="AX550" s="78" t="s">
        <v>829</v>
      </c>
      <c r="AY550" s="78" t="s">
        <v>1014</v>
      </c>
      <c r="AZ550" s="78" t="s">
        <v>1009</v>
      </c>
      <c r="BA550" s="84">
        <v>0.8</v>
      </c>
      <c r="BB550" s="78">
        <v>4</v>
      </c>
      <c r="BC550" s="78" t="s">
        <v>1018</v>
      </c>
      <c r="BD550" s="78" t="s">
        <v>1014</v>
      </c>
      <c r="BE550" s="78" t="s">
        <v>285</v>
      </c>
      <c r="BF550" s="78" t="s">
        <v>285</v>
      </c>
      <c r="BG550" s="78" t="s">
        <v>285</v>
      </c>
      <c r="BH550" s="78" t="s">
        <v>285</v>
      </c>
    </row>
    <row r="551" spans="26:60" ht="12.75">
      <c r="Z551" s="78" t="s">
        <v>1006</v>
      </c>
      <c r="AA551" s="78">
        <v>45</v>
      </c>
      <c r="AB551" s="78">
        <v>9</v>
      </c>
      <c r="AC551" s="78">
        <v>9</v>
      </c>
      <c r="AD551" s="78">
        <v>200</v>
      </c>
      <c r="AE551" s="84">
        <v>0.05</v>
      </c>
      <c r="AF551" s="78">
        <v>10</v>
      </c>
      <c r="AG551" s="78">
        <v>4</v>
      </c>
      <c r="AH551" s="84">
        <v>0.3</v>
      </c>
      <c r="AI551" s="78">
        <v>0</v>
      </c>
      <c r="AJ551" s="84">
        <v>0</v>
      </c>
      <c r="AK551" s="78">
        <v>4</v>
      </c>
      <c r="AL551" s="84">
        <v>0.3</v>
      </c>
      <c r="AM551" s="78">
        <v>0</v>
      </c>
      <c r="AN551" s="84">
        <v>0</v>
      </c>
      <c r="AO551" s="78">
        <v>2</v>
      </c>
      <c r="AP551" s="84">
        <v>0.1</v>
      </c>
      <c r="AQ551" s="84">
        <v>0.9</v>
      </c>
      <c r="AR551" s="84">
        <v>0.9</v>
      </c>
      <c r="AS551" s="84">
        <v>0</v>
      </c>
      <c r="AT551" s="84">
        <v>0.5</v>
      </c>
      <c r="AU551" s="102" t="s">
        <v>1008</v>
      </c>
      <c r="AV551" s="84">
        <v>0.85</v>
      </c>
      <c r="AW551" s="102">
        <v>3</v>
      </c>
      <c r="AX551" s="78" t="s">
        <v>833</v>
      </c>
      <c r="AY551" s="78" t="s">
        <v>1014</v>
      </c>
      <c r="AZ551" s="78" t="s">
        <v>1009</v>
      </c>
      <c r="BA551" s="84">
        <v>0.8</v>
      </c>
      <c r="BB551" s="78">
        <v>4</v>
      </c>
      <c r="BC551" s="78" t="s">
        <v>1033</v>
      </c>
      <c r="BD551" s="78" t="s">
        <v>1014</v>
      </c>
      <c r="BE551" s="78" t="s">
        <v>285</v>
      </c>
      <c r="BF551" s="78" t="s">
        <v>285</v>
      </c>
      <c r="BG551" s="78" t="s">
        <v>285</v>
      </c>
      <c r="BH551" s="78" t="s">
        <v>285</v>
      </c>
    </row>
    <row r="552" spans="26:60" ht="12.75">
      <c r="Z552" s="78" t="s">
        <v>1007</v>
      </c>
      <c r="AA552" s="78">
        <v>30</v>
      </c>
      <c r="AB552" s="78">
        <v>12</v>
      </c>
      <c r="AC552" s="78">
        <v>12</v>
      </c>
      <c r="AD552" s="78">
        <v>300</v>
      </c>
      <c r="AE552" s="84">
        <v>0.03</v>
      </c>
      <c r="AF552" s="78">
        <v>10</v>
      </c>
      <c r="AG552" s="78">
        <v>2</v>
      </c>
      <c r="AH552" s="84">
        <v>0.2</v>
      </c>
      <c r="AI552" s="78">
        <v>0</v>
      </c>
      <c r="AJ552" s="84">
        <v>0.2</v>
      </c>
      <c r="AK552" s="78">
        <v>5</v>
      </c>
      <c r="AL552" s="84">
        <v>0.1</v>
      </c>
      <c r="AM552" s="78">
        <v>0</v>
      </c>
      <c r="AN552" s="84">
        <v>0.1</v>
      </c>
      <c r="AO552" s="78">
        <v>2</v>
      </c>
      <c r="AP552" s="84">
        <v>0.2</v>
      </c>
      <c r="AQ552" s="84">
        <v>0.7</v>
      </c>
      <c r="AR552" s="84">
        <v>0.6</v>
      </c>
      <c r="AS552" s="84">
        <v>0</v>
      </c>
      <c r="AT552" s="84">
        <v>0.3</v>
      </c>
      <c r="AU552" s="102" t="s">
        <v>1040</v>
      </c>
      <c r="AV552" s="84">
        <v>0.7</v>
      </c>
      <c r="AW552" s="102">
        <v>3</v>
      </c>
      <c r="AX552" s="78" t="s">
        <v>1041</v>
      </c>
      <c r="AY552" s="78" t="s">
        <v>1014</v>
      </c>
      <c r="AZ552" s="78" t="s">
        <v>1042</v>
      </c>
      <c r="BA552" s="84">
        <v>0.75</v>
      </c>
      <c r="BB552" s="78">
        <v>4</v>
      </c>
      <c r="BC552" s="78" t="s">
        <v>833</v>
      </c>
      <c r="BD552" s="78" t="s">
        <v>1014</v>
      </c>
      <c r="BE552" s="78" t="s">
        <v>285</v>
      </c>
      <c r="BF552" s="78" t="s">
        <v>285</v>
      </c>
      <c r="BG552" s="78" t="s">
        <v>285</v>
      </c>
      <c r="BH552" s="78" t="s">
        <v>285</v>
      </c>
    </row>
    <row r="553" ht="12.75">
      <c r="Z553" s="78" t="s">
        <v>1157</v>
      </c>
    </row>
    <row r="554" spans="26:60" ht="12.75">
      <c r="Z554" s="87">
        <f>IF(Разное!AN36="","",Разное!AN36)</f>
      </c>
      <c r="AA554" s="78">
        <f>Разное!AK39</f>
        <v>0</v>
      </c>
      <c r="AB554" s="78">
        <f>Разное!AP39</f>
        <v>0</v>
      </c>
      <c r="AC554" s="78">
        <f>Разное!AU39</f>
        <v>0</v>
      </c>
      <c r="AD554" s="78">
        <f>Разное!AY39</f>
        <v>0</v>
      </c>
      <c r="AE554" s="84">
        <f>Разное!AK41</f>
        <v>0</v>
      </c>
      <c r="AF554" s="78">
        <f>Разное!AK45</f>
        <v>0</v>
      </c>
      <c r="AG554" s="78">
        <f>Разное!AP43</f>
        <v>0</v>
      </c>
      <c r="AH554" s="84">
        <f>Разное!AP45</f>
        <v>0</v>
      </c>
      <c r="AI554" s="78">
        <f>Разное!AS43</f>
        <v>0</v>
      </c>
      <c r="AJ554" s="84">
        <f>Разное!AS45</f>
        <v>0</v>
      </c>
      <c r="AK554" s="78">
        <f>Разное!AU43</f>
        <v>0</v>
      </c>
      <c r="AL554" s="84">
        <f>Разное!AU45</f>
        <v>0</v>
      </c>
      <c r="AM554" s="78">
        <f>Разное!AW43</f>
        <v>0</v>
      </c>
      <c r="AN554" s="84">
        <f>Разное!AW45</f>
        <v>0</v>
      </c>
      <c r="AO554" s="78">
        <f>Разное!AY43</f>
        <v>0</v>
      </c>
      <c r="AP554" s="84">
        <f>Разное!AY45</f>
        <v>0</v>
      </c>
      <c r="AQ554" s="84">
        <f>Разное!AK47</f>
        <v>0</v>
      </c>
      <c r="AR554" s="84">
        <f>Разное!AP47</f>
        <v>0</v>
      </c>
      <c r="AS554" s="84">
        <f>Разное!AU47</f>
        <v>0</v>
      </c>
      <c r="AT554" s="84">
        <f>Разное!AY47</f>
        <v>0</v>
      </c>
      <c r="AU554" s="78">
        <f>Разное!AM49</f>
        <v>0</v>
      </c>
      <c r="AV554" s="84">
        <f>Разное!AK51</f>
        <v>0</v>
      </c>
      <c r="AW554" s="78">
        <f>Разное!AJ53</f>
        <v>0</v>
      </c>
      <c r="AX554" s="78">
        <f>Разное!AO51</f>
        <v>0</v>
      </c>
      <c r="AY554" s="78">
        <f>Разное!AI55</f>
        <v>0</v>
      </c>
      <c r="AZ554" s="78">
        <f>Разное!AW49</f>
        <v>0</v>
      </c>
      <c r="BA554" s="84">
        <f>Разное!AU51</f>
        <v>0</v>
      </c>
      <c r="BB554" s="78">
        <f>Разное!AT53</f>
        <v>0</v>
      </c>
      <c r="BC554" s="78">
        <f>Разное!AY51</f>
        <v>0</v>
      </c>
      <c r="BD554" s="78">
        <f>Разное!AS55</f>
        <v>0</v>
      </c>
      <c r="BE554" s="78">
        <f>Разное!AM53</f>
        <v>0</v>
      </c>
      <c r="BF554" s="78">
        <f>Разное!AP53</f>
        <v>0</v>
      </c>
      <c r="BG554" s="78">
        <f>Разное!AW53</f>
        <v>0</v>
      </c>
      <c r="BH554" s="78">
        <f>Разное!AZ53</f>
        <v>0</v>
      </c>
    </row>
    <row r="555" spans="26:60" ht="12.75">
      <c r="Z555" s="87">
        <f>IF(Разное!BI36="","",Разное!BI36)</f>
      </c>
      <c r="AA555" s="78">
        <f>Разное!BF39</f>
        <v>0</v>
      </c>
      <c r="AB555" s="78">
        <f>Разное!BK39</f>
        <v>0</v>
      </c>
      <c r="AC555" s="78">
        <f>Разное!BP39</f>
        <v>0</v>
      </c>
      <c r="AD555" s="78">
        <f>Разное!BT39</f>
        <v>0</v>
      </c>
      <c r="AE555" s="84">
        <f>Разное!BF41</f>
        <v>0</v>
      </c>
      <c r="AF555" s="78">
        <f>Разное!BF45</f>
        <v>0</v>
      </c>
      <c r="AG555" s="78">
        <f>Разное!BK43</f>
        <v>0</v>
      </c>
      <c r="AH555" s="84">
        <f>Разное!BK45</f>
        <v>0</v>
      </c>
      <c r="AI555" s="78">
        <f>Разное!BN43</f>
        <v>0</v>
      </c>
      <c r="AJ555" s="84">
        <f>Разное!BN45</f>
        <v>0</v>
      </c>
      <c r="AK555" s="78">
        <f>Разное!BP43</f>
        <v>0</v>
      </c>
      <c r="AL555" s="84">
        <f>Разное!BP45</f>
        <v>0</v>
      </c>
      <c r="AM555" s="78">
        <f>Разное!BR43</f>
        <v>0</v>
      </c>
      <c r="AN555" s="84">
        <f>Разное!BR45</f>
        <v>0</v>
      </c>
      <c r="AO555" s="78">
        <f>Разное!BT43</f>
        <v>0</v>
      </c>
      <c r="AP555" s="84">
        <f>Разное!BT45</f>
        <v>0</v>
      </c>
      <c r="AQ555" s="84">
        <f>Разное!BF47</f>
        <v>0</v>
      </c>
      <c r="AR555" s="84">
        <f>Разное!BK47</f>
        <v>0</v>
      </c>
      <c r="AS555" s="84">
        <f>Разное!BP47</f>
        <v>0</v>
      </c>
      <c r="AT555" s="84">
        <f>Разное!BT47</f>
        <v>0</v>
      </c>
      <c r="AU555" s="78">
        <f>Разное!BH49</f>
        <v>0</v>
      </c>
      <c r="AV555" s="84">
        <f>Разное!BF51</f>
        <v>0</v>
      </c>
      <c r="AW555" s="78">
        <f>Разное!BE53</f>
        <v>0</v>
      </c>
      <c r="AX555" s="78">
        <f>Разное!BJ51</f>
        <v>0</v>
      </c>
      <c r="AY555" s="78">
        <f>Разное!BD55</f>
        <v>0</v>
      </c>
      <c r="AZ555" s="78">
        <f>Разное!BR49</f>
        <v>0</v>
      </c>
      <c r="BA555" s="84">
        <f>Разное!BP51</f>
        <v>0</v>
      </c>
      <c r="BB555" s="78">
        <f>Разное!BO53</f>
        <v>0</v>
      </c>
      <c r="BC555" s="78">
        <f>Разное!BT51</f>
        <v>0</v>
      </c>
      <c r="BD555" s="78">
        <f>Разное!BN55</f>
        <v>0</v>
      </c>
      <c r="BE555" s="78">
        <f>Разное!BH53</f>
        <v>0</v>
      </c>
      <c r="BF555" s="78">
        <f>Разное!BK53</f>
        <v>0</v>
      </c>
      <c r="BG555" s="78">
        <f>Разное!BR53</f>
        <v>0</v>
      </c>
      <c r="BH555" s="78">
        <f>Разное!BU53</f>
        <v>0</v>
      </c>
    </row>
    <row r="556" spans="38:44" ht="12.75">
      <c r="AL556" s="84"/>
      <c r="AN556" s="84"/>
      <c r="AP556" s="84"/>
      <c r="AQ556" s="84"/>
      <c r="AR556" s="84"/>
    </row>
  </sheetData>
  <sheetProtection/>
  <mergeCells count="36">
    <mergeCell ref="B58:J58"/>
    <mergeCell ref="B63:J63"/>
    <mergeCell ref="B59:J59"/>
    <mergeCell ref="B60:J60"/>
    <mergeCell ref="B61:J61"/>
    <mergeCell ref="B62:J62"/>
    <mergeCell ref="B54:J54"/>
    <mergeCell ref="B55:J55"/>
    <mergeCell ref="B56:J56"/>
    <mergeCell ref="B57:J57"/>
    <mergeCell ref="B50:J50"/>
    <mergeCell ref="B51:J51"/>
    <mergeCell ref="B52:J52"/>
    <mergeCell ref="B53:J53"/>
    <mergeCell ref="B46:J46"/>
    <mergeCell ref="B47:J47"/>
    <mergeCell ref="B48:J48"/>
    <mergeCell ref="B49:J49"/>
    <mergeCell ref="B42:J42"/>
    <mergeCell ref="B43:J43"/>
    <mergeCell ref="B44:J44"/>
    <mergeCell ref="B45:J45"/>
    <mergeCell ref="B38:J38"/>
    <mergeCell ref="B39:J39"/>
    <mergeCell ref="B40:J40"/>
    <mergeCell ref="B41:J41"/>
    <mergeCell ref="A1:C1"/>
    <mergeCell ref="B35:J35"/>
    <mergeCell ref="B36:J36"/>
    <mergeCell ref="B37:J37"/>
    <mergeCell ref="Z17:AJ17"/>
    <mergeCell ref="AD1:AE1"/>
    <mergeCell ref="V1:W1"/>
    <mergeCell ref="X1:Y1"/>
    <mergeCell ref="Z1:AA1"/>
    <mergeCell ref="AB1:AC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32"/>
  <sheetViews>
    <sheetView showGridLines="0" tabSelected="1" zoomScale="92" zoomScaleNormal="92" workbookViewId="0" topLeftCell="A1">
      <selection activeCell="Z10" sqref="Z10"/>
    </sheetView>
  </sheetViews>
  <sheetFormatPr defaultColWidth="9.140625" defaultRowHeight="7.5" customHeight="1"/>
  <cols>
    <col min="1" max="5" width="2.7109375" style="10" customWidth="1"/>
    <col min="6" max="6" width="2.7109375" style="11" customWidth="1"/>
    <col min="7" max="48" width="2.7109375" style="10" customWidth="1"/>
    <col min="49" max="49" width="3.7109375" style="10" customWidth="1"/>
    <col min="50" max="51" width="2.7109375" style="10" customWidth="1"/>
    <col min="52" max="52" width="3.8515625" style="10" customWidth="1"/>
    <col min="53" max="16384" width="2.7109375" style="10" customWidth="1"/>
  </cols>
  <sheetData>
    <row r="1" spans="1:81" ht="7.5" customHeight="1" thickBot="1">
      <c r="A1" s="9"/>
      <c r="B1" s="12"/>
      <c r="C1" s="12"/>
      <c r="D1" s="12"/>
      <c r="E1" s="12"/>
      <c r="F1" s="27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8"/>
      <c r="Z1" s="34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39"/>
      <c r="AU1" s="12"/>
      <c r="AV1" s="12"/>
      <c r="AW1" s="40"/>
      <c r="AX1" s="40"/>
      <c r="AY1" s="40"/>
      <c r="AZ1" s="40"/>
      <c r="BA1" s="40"/>
      <c r="BB1" s="40"/>
      <c r="BC1" s="40"/>
      <c r="BD1" s="40"/>
      <c r="BE1" s="12"/>
      <c r="BF1" s="12"/>
      <c r="BG1" s="12"/>
      <c r="BH1" s="40"/>
      <c r="BI1" s="40"/>
      <c r="BJ1" s="12"/>
      <c r="BK1" s="12"/>
      <c r="BL1" s="12"/>
      <c r="BM1" s="12"/>
      <c r="BN1" s="12"/>
      <c r="BO1" s="12"/>
      <c r="BP1" s="12"/>
      <c r="BQ1" s="28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</row>
    <row r="2" spans="1:70" ht="7.5" customHeight="1" thickBot="1">
      <c r="A2" s="16"/>
      <c r="B2" s="484" t="s">
        <v>64</v>
      </c>
      <c r="C2" s="484"/>
      <c r="D2" s="484"/>
      <c r="E2" s="484"/>
      <c r="F2" s="484"/>
      <c r="G2" s="484"/>
      <c r="H2" s="484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29"/>
      <c r="Z2" s="19"/>
      <c r="AA2" s="189" t="s">
        <v>931</v>
      </c>
      <c r="AB2" s="190"/>
      <c r="AC2" s="190"/>
      <c r="AD2" s="190"/>
      <c r="AE2" s="190"/>
      <c r="AF2" s="193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5"/>
      <c r="AS2" s="13"/>
      <c r="AT2" s="13"/>
      <c r="AU2" s="13"/>
      <c r="AV2" s="13"/>
      <c r="AW2" s="13"/>
      <c r="AX2" s="14"/>
      <c r="AY2" s="14"/>
      <c r="AZ2" s="14"/>
      <c r="BA2" s="14"/>
      <c r="BB2" s="14"/>
      <c r="BC2" s="13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3"/>
      <c r="BQ2" s="29"/>
      <c r="BR2" s="13"/>
    </row>
    <row r="3" spans="1:70" ht="7.5" customHeight="1" thickBot="1">
      <c r="A3" s="16"/>
      <c r="B3" s="484"/>
      <c r="C3" s="484"/>
      <c r="D3" s="484"/>
      <c r="E3" s="484"/>
      <c r="F3" s="484"/>
      <c r="G3" s="484"/>
      <c r="H3" s="484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29"/>
      <c r="Z3" s="19"/>
      <c r="AA3" s="191"/>
      <c r="AB3" s="192"/>
      <c r="AC3" s="192"/>
      <c r="AD3" s="192"/>
      <c r="AE3" s="192"/>
      <c r="AF3" s="182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4"/>
      <c r="AS3" s="13"/>
      <c r="AT3" s="415" t="s">
        <v>274</v>
      </c>
      <c r="AU3" s="416"/>
      <c r="AV3" s="13"/>
      <c r="AW3" s="423" t="s">
        <v>305</v>
      </c>
      <c r="AX3" s="424"/>
      <c r="AY3" s="425"/>
      <c r="AZ3" s="14"/>
      <c r="BA3" s="423" t="s">
        <v>113</v>
      </c>
      <c r="BB3" s="424"/>
      <c r="BC3" s="424"/>
      <c r="BD3" s="424"/>
      <c r="BE3" s="424"/>
      <c r="BF3" s="424"/>
      <c r="BG3" s="425"/>
      <c r="BH3" s="14"/>
      <c r="BI3" s="423" t="s">
        <v>306</v>
      </c>
      <c r="BJ3" s="424"/>
      <c r="BK3" s="424"/>
      <c r="BL3" s="424"/>
      <c r="BM3" s="424"/>
      <c r="BN3" s="424"/>
      <c r="BO3" s="425"/>
      <c r="BP3" s="13"/>
      <c r="BQ3" s="29"/>
      <c r="BR3" s="13"/>
    </row>
    <row r="4" spans="1:70" ht="7.5" customHeight="1" thickBot="1">
      <c r="A4" s="16"/>
      <c r="B4" s="377" t="s">
        <v>65</v>
      </c>
      <c r="C4" s="377"/>
      <c r="D4" s="377"/>
      <c r="E4" s="227"/>
      <c r="F4" s="227"/>
      <c r="G4" s="227"/>
      <c r="H4" s="227"/>
      <c r="I4" s="377" t="s">
        <v>66</v>
      </c>
      <c r="J4" s="377"/>
      <c r="K4" s="377"/>
      <c r="L4" s="377"/>
      <c r="M4" s="413"/>
      <c r="N4" s="413"/>
      <c r="O4" s="413"/>
      <c r="P4" s="413"/>
      <c r="Q4" s="377" t="s">
        <v>70</v>
      </c>
      <c r="R4" s="377"/>
      <c r="S4" s="377"/>
      <c r="T4" s="377"/>
      <c r="U4" s="413"/>
      <c r="V4" s="413"/>
      <c r="W4" s="413"/>
      <c r="X4" s="413"/>
      <c r="Y4" s="29"/>
      <c r="Z4" s="19"/>
      <c r="AA4" s="15"/>
      <c r="AB4" s="15"/>
      <c r="AC4" s="15"/>
      <c r="AD4" s="15"/>
      <c r="AE4" s="15"/>
      <c r="AF4" s="15"/>
      <c r="AG4" s="15"/>
      <c r="AH4" s="15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417"/>
      <c r="AU4" s="418"/>
      <c r="AV4" s="13"/>
      <c r="AW4" s="426"/>
      <c r="AX4" s="427"/>
      <c r="AY4" s="428"/>
      <c r="AZ4" s="13"/>
      <c r="BA4" s="426"/>
      <c r="BB4" s="427"/>
      <c r="BC4" s="427"/>
      <c r="BD4" s="427"/>
      <c r="BE4" s="427"/>
      <c r="BF4" s="427"/>
      <c r="BG4" s="428"/>
      <c r="BH4" s="13"/>
      <c r="BI4" s="426"/>
      <c r="BJ4" s="427"/>
      <c r="BK4" s="427"/>
      <c r="BL4" s="427"/>
      <c r="BM4" s="427"/>
      <c r="BN4" s="427"/>
      <c r="BO4" s="428"/>
      <c r="BP4" s="13"/>
      <c r="BQ4" s="29"/>
      <c r="BR4" s="13"/>
    </row>
    <row r="5" spans="1:70" ht="7.5" customHeight="1">
      <c r="A5" s="16"/>
      <c r="B5" s="377"/>
      <c r="C5" s="377"/>
      <c r="D5" s="377"/>
      <c r="E5" s="227"/>
      <c r="F5" s="227"/>
      <c r="G5" s="227"/>
      <c r="H5" s="227"/>
      <c r="I5" s="377"/>
      <c r="J5" s="377"/>
      <c r="K5" s="377"/>
      <c r="L5" s="377"/>
      <c r="M5" s="413"/>
      <c r="N5" s="413"/>
      <c r="O5" s="413"/>
      <c r="P5" s="413"/>
      <c r="Q5" s="377"/>
      <c r="R5" s="377"/>
      <c r="S5" s="377"/>
      <c r="T5" s="377"/>
      <c r="U5" s="413"/>
      <c r="V5" s="413"/>
      <c r="W5" s="413"/>
      <c r="X5" s="413"/>
      <c r="Y5" s="29"/>
      <c r="Z5" s="19"/>
      <c r="AA5" s="17"/>
      <c r="AB5" s="17"/>
      <c r="AC5" s="419" t="s">
        <v>73</v>
      </c>
      <c r="AD5" s="420"/>
      <c r="AE5" s="420"/>
      <c r="AF5" s="420"/>
      <c r="AG5" s="420"/>
      <c r="AH5" s="420"/>
      <c r="AI5" s="420"/>
      <c r="AJ5" s="420"/>
      <c r="AK5" s="474" t="s">
        <v>222</v>
      </c>
      <c r="AL5" s="475"/>
      <c r="AM5" s="13"/>
      <c r="AN5" s="415" t="s">
        <v>74</v>
      </c>
      <c r="AO5" s="442"/>
      <c r="AP5" s="479" t="s">
        <v>8</v>
      </c>
      <c r="AQ5" s="416"/>
      <c r="AR5" s="13"/>
      <c r="AS5" s="13"/>
      <c r="AT5" s="409" t="s">
        <v>275</v>
      </c>
      <c r="AU5" s="410"/>
      <c r="AV5" s="13"/>
      <c r="AW5" s="429">
        <f>IF(M20&gt;0,M20*(B16-1),0)</f>
        <v>0</v>
      </c>
      <c r="AX5" s="429"/>
      <c r="AY5" s="429"/>
      <c r="AZ5" s="5"/>
      <c r="BA5" s="431">
        <f>SUM(AX7:AY44,BB7:BC44,BF7:BG44,BJ7:BK44,BN7:BO44)</f>
        <v>0</v>
      </c>
      <c r="BB5" s="431"/>
      <c r="BC5" s="431"/>
      <c r="BD5" s="431"/>
      <c r="BE5" s="431"/>
      <c r="BF5" s="431"/>
      <c r="BG5" s="431"/>
      <c r="BH5" s="5"/>
      <c r="BI5" s="431">
        <f>AW5-BA5</f>
        <v>0</v>
      </c>
      <c r="BJ5" s="431"/>
      <c r="BK5" s="431"/>
      <c r="BL5" s="431"/>
      <c r="BM5" s="431"/>
      <c r="BN5" s="431"/>
      <c r="BO5" s="431"/>
      <c r="BP5" s="13"/>
      <c r="BQ5" s="29"/>
      <c r="BR5" s="13"/>
    </row>
    <row r="6" spans="1:70" ht="9" customHeight="1" thickBot="1">
      <c r="A6" s="16"/>
      <c r="B6" s="377" t="s">
        <v>68</v>
      </c>
      <c r="C6" s="377"/>
      <c r="D6" s="377"/>
      <c r="E6" s="466"/>
      <c r="F6" s="466"/>
      <c r="G6" s="466"/>
      <c r="H6" s="466"/>
      <c r="I6" s="466"/>
      <c r="J6" s="466"/>
      <c r="K6" s="466"/>
      <c r="L6" s="466"/>
      <c r="M6" s="466"/>
      <c r="N6" s="377" t="s">
        <v>69</v>
      </c>
      <c r="O6" s="377"/>
      <c r="P6" s="377"/>
      <c r="Q6" s="407"/>
      <c r="R6" s="407"/>
      <c r="S6" s="407"/>
      <c r="T6" s="407"/>
      <c r="U6" s="407"/>
      <c r="V6" s="407"/>
      <c r="W6" s="407"/>
      <c r="X6" s="407"/>
      <c r="Y6" s="29"/>
      <c r="Z6" s="19"/>
      <c r="AA6" s="17"/>
      <c r="AB6" s="17"/>
      <c r="AC6" s="421"/>
      <c r="AD6" s="422"/>
      <c r="AE6" s="422"/>
      <c r="AF6" s="422"/>
      <c r="AG6" s="422"/>
      <c r="AH6" s="422"/>
      <c r="AI6" s="422"/>
      <c r="AJ6" s="422"/>
      <c r="AK6" s="476"/>
      <c r="AL6" s="477"/>
      <c r="AM6" s="13"/>
      <c r="AN6" s="443"/>
      <c r="AO6" s="444"/>
      <c r="AP6" s="480"/>
      <c r="AQ6" s="418"/>
      <c r="AR6" s="13"/>
      <c r="AS6" s="13"/>
      <c r="AT6" s="411"/>
      <c r="AU6" s="412"/>
      <c r="AV6" s="13"/>
      <c r="AW6" s="430"/>
      <c r="AX6" s="430"/>
      <c r="AY6" s="430"/>
      <c r="AZ6" s="5"/>
      <c r="BA6" s="432"/>
      <c r="BB6" s="432"/>
      <c r="BC6" s="432"/>
      <c r="BD6" s="432"/>
      <c r="BE6" s="432"/>
      <c r="BF6" s="432"/>
      <c r="BG6" s="432"/>
      <c r="BH6" s="5"/>
      <c r="BI6" s="432"/>
      <c r="BJ6" s="432"/>
      <c r="BK6" s="432"/>
      <c r="BL6" s="432"/>
      <c r="BM6" s="432"/>
      <c r="BN6" s="432"/>
      <c r="BO6" s="432"/>
      <c r="BP6" s="13"/>
      <c r="BQ6" s="29"/>
      <c r="BR6" s="13"/>
    </row>
    <row r="7" spans="1:70" ht="8.25" customHeight="1">
      <c r="A7" s="16"/>
      <c r="B7" s="377"/>
      <c r="C7" s="377"/>
      <c r="D7" s="377"/>
      <c r="E7" s="466"/>
      <c r="F7" s="466"/>
      <c r="G7" s="466"/>
      <c r="H7" s="466"/>
      <c r="I7" s="466"/>
      <c r="J7" s="466"/>
      <c r="K7" s="466"/>
      <c r="L7" s="466"/>
      <c r="M7" s="466"/>
      <c r="N7" s="377"/>
      <c r="O7" s="377"/>
      <c r="P7" s="377"/>
      <c r="Q7" s="407"/>
      <c r="R7" s="407"/>
      <c r="S7" s="407"/>
      <c r="T7" s="407"/>
      <c r="U7" s="407"/>
      <c r="V7" s="407"/>
      <c r="W7" s="407"/>
      <c r="X7" s="407"/>
      <c r="Y7" s="29"/>
      <c r="Z7" s="19"/>
      <c r="AA7" s="15"/>
      <c r="AB7" s="15"/>
      <c r="AC7" s="286" t="s">
        <v>256</v>
      </c>
      <c r="AD7" s="286"/>
      <c r="AE7" s="286"/>
      <c r="AF7" s="286"/>
      <c r="AG7" s="286"/>
      <c r="AH7" s="286"/>
      <c r="AI7" s="286"/>
      <c r="AJ7" s="286"/>
      <c r="AK7" s="478">
        <f>SUM(AN7:AQ8)+IF(Таблицы!AO35=1,Таблицы!AO32,0)+AT7</f>
        <v>25</v>
      </c>
      <c r="AL7" s="478"/>
      <c r="AM7" s="13"/>
      <c r="AN7" s="287">
        <f>IF(D36=0,"",5+(D36*4)+Таблицы!M13+Таблицы!U13)</f>
        <v>25</v>
      </c>
      <c r="AO7" s="287"/>
      <c r="AP7" s="481"/>
      <c r="AQ7" s="481"/>
      <c r="AR7" s="13"/>
      <c r="AS7" s="13"/>
      <c r="AT7" s="287">
        <f>IF(Таблицы!M13=20,SUM(AX7*2,BB7*2/2,INT(BF7*2/3),INT(BJ7*2/4),INT(BN7*2/5)),SUM(AX7,INT(BB7/2),INT(BF7/3),INT(BJ7/4),INT(BN7/5)))</f>
        <v>0</v>
      </c>
      <c r="AU7" s="287"/>
      <c r="AV7" s="13"/>
      <c r="AW7" s="433" t="s">
        <v>108</v>
      </c>
      <c r="AX7" s="414"/>
      <c r="AY7" s="414"/>
      <c r="AZ7" s="13"/>
      <c r="BA7" s="433" t="s">
        <v>109</v>
      </c>
      <c r="BB7" s="414"/>
      <c r="BC7" s="414"/>
      <c r="BD7" s="13"/>
      <c r="BE7" s="433" t="s">
        <v>110</v>
      </c>
      <c r="BF7" s="414"/>
      <c r="BG7" s="414"/>
      <c r="BH7" s="13"/>
      <c r="BI7" s="433" t="s">
        <v>111</v>
      </c>
      <c r="BJ7" s="414"/>
      <c r="BK7" s="414"/>
      <c r="BL7" s="13"/>
      <c r="BM7" s="433" t="s">
        <v>112</v>
      </c>
      <c r="BN7" s="414"/>
      <c r="BO7" s="414"/>
      <c r="BP7" s="13"/>
      <c r="BQ7" s="29"/>
      <c r="BR7" s="13"/>
    </row>
    <row r="8" spans="1:70" ht="7.5" customHeight="1">
      <c r="A8" s="16"/>
      <c r="B8" s="377" t="s">
        <v>71</v>
      </c>
      <c r="C8" s="377"/>
      <c r="D8" s="377"/>
      <c r="E8" s="377"/>
      <c r="F8" s="466"/>
      <c r="G8" s="466"/>
      <c r="H8" s="466"/>
      <c r="I8" s="466"/>
      <c r="J8" s="466"/>
      <c r="K8" s="466"/>
      <c r="L8" s="466"/>
      <c r="M8" s="466"/>
      <c r="N8" s="377" t="s">
        <v>67</v>
      </c>
      <c r="O8" s="377"/>
      <c r="P8" s="377"/>
      <c r="Q8" s="466"/>
      <c r="R8" s="466"/>
      <c r="S8" s="466"/>
      <c r="T8" s="466"/>
      <c r="U8" s="466"/>
      <c r="V8" s="466"/>
      <c r="W8" s="466"/>
      <c r="X8" s="466"/>
      <c r="Y8" s="29"/>
      <c r="Z8" s="19"/>
      <c r="AA8" s="15"/>
      <c r="AB8" s="15"/>
      <c r="AC8" s="172"/>
      <c r="AD8" s="172"/>
      <c r="AE8" s="172"/>
      <c r="AF8" s="172"/>
      <c r="AG8" s="172"/>
      <c r="AH8" s="172"/>
      <c r="AI8" s="172"/>
      <c r="AJ8" s="172"/>
      <c r="AK8" s="435"/>
      <c r="AL8" s="435"/>
      <c r="AM8" s="13"/>
      <c r="AN8" s="228"/>
      <c r="AO8" s="228"/>
      <c r="AP8" s="436"/>
      <c r="AQ8" s="436"/>
      <c r="AR8" s="15"/>
      <c r="AS8" s="15"/>
      <c r="AT8" s="228"/>
      <c r="AU8" s="228"/>
      <c r="AV8" s="13"/>
      <c r="AW8" s="434"/>
      <c r="AX8" s="413"/>
      <c r="AY8" s="413"/>
      <c r="AZ8" s="13"/>
      <c r="BA8" s="434"/>
      <c r="BB8" s="413"/>
      <c r="BC8" s="413"/>
      <c r="BD8" s="13"/>
      <c r="BE8" s="434"/>
      <c r="BF8" s="413"/>
      <c r="BG8" s="413"/>
      <c r="BH8" s="13"/>
      <c r="BI8" s="434"/>
      <c r="BJ8" s="413"/>
      <c r="BK8" s="413"/>
      <c r="BL8" s="13"/>
      <c r="BM8" s="434"/>
      <c r="BN8" s="413"/>
      <c r="BO8" s="413"/>
      <c r="BP8" s="13"/>
      <c r="BQ8" s="29"/>
      <c r="BR8" s="13"/>
    </row>
    <row r="9" spans="1:70" ht="7.5" customHeight="1">
      <c r="A9" s="16"/>
      <c r="B9" s="377"/>
      <c r="C9" s="377"/>
      <c r="D9" s="377"/>
      <c r="E9" s="377"/>
      <c r="F9" s="466"/>
      <c r="G9" s="466"/>
      <c r="H9" s="466"/>
      <c r="I9" s="466"/>
      <c r="J9" s="466"/>
      <c r="K9" s="466"/>
      <c r="L9" s="466"/>
      <c r="M9" s="466"/>
      <c r="N9" s="377"/>
      <c r="O9" s="377"/>
      <c r="P9" s="377"/>
      <c r="Q9" s="466"/>
      <c r="R9" s="466"/>
      <c r="S9" s="466"/>
      <c r="T9" s="466"/>
      <c r="U9" s="466"/>
      <c r="V9" s="466"/>
      <c r="W9" s="466"/>
      <c r="X9" s="466"/>
      <c r="Y9" s="29"/>
      <c r="Z9" s="19"/>
      <c r="AA9" s="15"/>
      <c r="AB9" s="15"/>
      <c r="AC9" s="172" t="s">
        <v>255</v>
      </c>
      <c r="AD9" s="172"/>
      <c r="AE9" s="172"/>
      <c r="AF9" s="172"/>
      <c r="AG9" s="172"/>
      <c r="AH9" s="172"/>
      <c r="AI9" s="172"/>
      <c r="AJ9" s="172"/>
      <c r="AK9" s="435">
        <f>SUM(AN9:AQ10)+IF(Таблицы!AO35=2,Таблицы!AO32,0)+AT9</f>
        <v>10</v>
      </c>
      <c r="AL9" s="435"/>
      <c r="AM9" s="13"/>
      <c r="AN9" s="228">
        <f>IF(D36=0,"",(D36*2)+Таблицы!M14+Таблицы!U14)</f>
        <v>10</v>
      </c>
      <c r="AO9" s="228"/>
      <c r="AP9" s="436"/>
      <c r="AQ9" s="436"/>
      <c r="AR9" s="13"/>
      <c r="AS9" s="13"/>
      <c r="AT9" s="287">
        <f>IF(Таблицы!M14=20,SUM(AX9*2,BB9*2/2,INT(BF9*2/3),INT(BJ9*2/4),INT(BN9*2/5)),SUM(AX9,INT(BB9/2),INT(BF9/3),INT(BJ9/4),INT(BN9/5)))</f>
        <v>0</v>
      </c>
      <c r="AU9" s="287"/>
      <c r="AV9" s="13"/>
      <c r="AW9" s="434"/>
      <c r="AX9" s="413"/>
      <c r="AY9" s="413"/>
      <c r="AZ9" s="13"/>
      <c r="BA9" s="434"/>
      <c r="BB9" s="413"/>
      <c r="BC9" s="413"/>
      <c r="BD9" s="13"/>
      <c r="BE9" s="434"/>
      <c r="BF9" s="413"/>
      <c r="BG9" s="413"/>
      <c r="BH9" s="13"/>
      <c r="BI9" s="434"/>
      <c r="BJ9" s="413"/>
      <c r="BK9" s="413"/>
      <c r="BL9" s="13"/>
      <c r="BM9" s="434"/>
      <c r="BN9" s="413"/>
      <c r="BO9" s="413"/>
      <c r="BP9" s="13"/>
      <c r="BQ9" s="29"/>
      <c r="BR9" s="13"/>
    </row>
    <row r="10" spans="1:70" ht="7.5" customHeight="1">
      <c r="A10" s="16"/>
      <c r="B10" s="377" t="s">
        <v>221</v>
      </c>
      <c r="C10" s="377"/>
      <c r="D10" s="377"/>
      <c r="E10" s="377"/>
      <c r="F10" s="377"/>
      <c r="G10" s="377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29"/>
      <c r="Z10" s="19"/>
      <c r="AA10" s="15"/>
      <c r="AB10" s="15"/>
      <c r="AC10" s="172"/>
      <c r="AD10" s="172"/>
      <c r="AE10" s="172"/>
      <c r="AF10" s="172"/>
      <c r="AG10" s="172"/>
      <c r="AH10" s="172"/>
      <c r="AI10" s="172"/>
      <c r="AJ10" s="172"/>
      <c r="AK10" s="435"/>
      <c r="AL10" s="435"/>
      <c r="AM10" s="13"/>
      <c r="AN10" s="228"/>
      <c r="AO10" s="228"/>
      <c r="AP10" s="436"/>
      <c r="AQ10" s="436"/>
      <c r="AR10" s="15"/>
      <c r="AS10" s="13"/>
      <c r="AT10" s="228"/>
      <c r="AU10" s="228"/>
      <c r="AV10" s="13"/>
      <c r="AW10" s="434"/>
      <c r="AX10" s="413"/>
      <c r="AY10" s="413"/>
      <c r="AZ10" s="13"/>
      <c r="BA10" s="434"/>
      <c r="BB10" s="413"/>
      <c r="BC10" s="413"/>
      <c r="BD10" s="13"/>
      <c r="BE10" s="434"/>
      <c r="BF10" s="413"/>
      <c r="BG10" s="413"/>
      <c r="BH10" s="13"/>
      <c r="BI10" s="434"/>
      <c r="BJ10" s="413"/>
      <c r="BK10" s="413"/>
      <c r="BL10" s="13"/>
      <c r="BM10" s="434"/>
      <c r="BN10" s="413"/>
      <c r="BO10" s="413"/>
      <c r="BP10" s="13"/>
      <c r="BQ10" s="29"/>
      <c r="BR10" s="13"/>
    </row>
    <row r="11" spans="1:70" ht="7.5" customHeight="1">
      <c r="A11" s="16"/>
      <c r="B11" s="377"/>
      <c r="C11" s="377"/>
      <c r="D11" s="377"/>
      <c r="E11" s="377"/>
      <c r="F11" s="377"/>
      <c r="G11" s="377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29"/>
      <c r="Z11" s="19"/>
      <c r="AA11" s="15"/>
      <c r="AB11" s="15"/>
      <c r="AC11" s="172" t="s">
        <v>77</v>
      </c>
      <c r="AD11" s="172"/>
      <c r="AE11" s="172"/>
      <c r="AF11" s="172"/>
      <c r="AG11" s="172"/>
      <c r="AH11" s="172"/>
      <c r="AI11" s="172"/>
      <c r="AJ11" s="172"/>
      <c r="AK11" s="435">
        <f>SUM(AN11:AQ12)+IF(Таблицы!AO35=3,Таблицы!AO32,0)+AT11</f>
        <v>10</v>
      </c>
      <c r="AL11" s="435"/>
      <c r="AM11" s="13"/>
      <c r="AN11" s="228">
        <f>IF(D36=0,"",(D36*2)+Таблицы!M15+Таблицы!U15)</f>
        <v>10</v>
      </c>
      <c r="AO11" s="228"/>
      <c r="AP11" s="436"/>
      <c r="AQ11" s="436"/>
      <c r="AR11" s="13"/>
      <c r="AS11" s="13"/>
      <c r="AT11" s="287">
        <f>IF(Таблицы!M15=20,SUM(AX11*2,BB11*2/2,INT(BF11*2/3),INT(BJ11*2/4),INT(BN11*2/5)),SUM(AX11,INT(BB11/2),INT(BF11/3),INT(BJ11/4),INT(BN11/5)))</f>
        <v>0</v>
      </c>
      <c r="AU11" s="287"/>
      <c r="AV11" s="13"/>
      <c r="AW11" s="434"/>
      <c r="AX11" s="413"/>
      <c r="AY11" s="413"/>
      <c r="AZ11" s="13"/>
      <c r="BA11" s="434"/>
      <c r="BB11" s="413"/>
      <c r="BC11" s="413"/>
      <c r="BD11" s="13"/>
      <c r="BE11" s="434"/>
      <c r="BF11" s="413"/>
      <c r="BG11" s="413"/>
      <c r="BH11" s="13"/>
      <c r="BI11" s="434"/>
      <c r="BJ11" s="413"/>
      <c r="BK11" s="413"/>
      <c r="BL11" s="13"/>
      <c r="BM11" s="434"/>
      <c r="BN11" s="413"/>
      <c r="BO11" s="413"/>
      <c r="BP11" s="13"/>
      <c r="BQ11" s="29"/>
      <c r="BR11" s="13"/>
    </row>
    <row r="12" spans="1:70" ht="7.5" customHeight="1">
      <c r="A12" s="69"/>
      <c r="B12" s="46"/>
      <c r="C12" s="46"/>
      <c r="D12" s="46"/>
      <c r="E12" s="46"/>
      <c r="F12" s="68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70"/>
      <c r="Z12" s="41"/>
      <c r="AA12" s="15"/>
      <c r="AB12" s="15"/>
      <c r="AC12" s="172"/>
      <c r="AD12" s="172"/>
      <c r="AE12" s="172"/>
      <c r="AF12" s="172"/>
      <c r="AG12" s="172"/>
      <c r="AH12" s="172"/>
      <c r="AI12" s="172"/>
      <c r="AJ12" s="172"/>
      <c r="AK12" s="435"/>
      <c r="AL12" s="435"/>
      <c r="AM12" s="13"/>
      <c r="AN12" s="228"/>
      <c r="AO12" s="228"/>
      <c r="AP12" s="436"/>
      <c r="AQ12" s="436"/>
      <c r="AR12" s="15"/>
      <c r="AS12" s="13"/>
      <c r="AT12" s="228"/>
      <c r="AU12" s="228"/>
      <c r="AV12" s="13"/>
      <c r="AW12" s="434"/>
      <c r="AX12" s="413"/>
      <c r="AY12" s="413"/>
      <c r="AZ12" s="13"/>
      <c r="BA12" s="434"/>
      <c r="BB12" s="413"/>
      <c r="BC12" s="413"/>
      <c r="BD12" s="13"/>
      <c r="BE12" s="434"/>
      <c r="BF12" s="413"/>
      <c r="BG12" s="413"/>
      <c r="BH12" s="13"/>
      <c r="BI12" s="434"/>
      <c r="BJ12" s="413"/>
      <c r="BK12" s="413"/>
      <c r="BL12" s="13"/>
      <c r="BM12" s="434"/>
      <c r="BN12" s="413"/>
      <c r="BO12" s="413"/>
      <c r="BP12" s="13"/>
      <c r="BQ12" s="29"/>
      <c r="BR12" s="13"/>
    </row>
    <row r="13" spans="1:70" ht="7.5" customHeight="1" thickBot="1">
      <c r="A13" s="16"/>
      <c r="B13" s="13"/>
      <c r="C13" s="13"/>
      <c r="D13" s="13"/>
      <c r="E13" s="13"/>
      <c r="F13" s="35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36"/>
      <c r="Z13" s="41"/>
      <c r="AA13" s="15"/>
      <c r="AB13" s="15"/>
      <c r="AC13" s="172" t="s">
        <v>76</v>
      </c>
      <c r="AD13" s="172"/>
      <c r="AE13" s="172"/>
      <c r="AF13" s="172"/>
      <c r="AG13" s="172"/>
      <c r="AH13" s="172"/>
      <c r="AI13" s="172"/>
      <c r="AJ13" s="172"/>
      <c r="AK13" s="435">
        <f>SUM(AN13:AQ14)+IF(Таблицы!AO35=4,Таблицы!AO32,0)+AT13</f>
        <v>50</v>
      </c>
      <c r="AL13" s="435"/>
      <c r="AM13" s="13"/>
      <c r="AN13" s="228">
        <f>IF(D36=0,"",30+(2*SUM(D36,D26)+Таблицы!M16+Таблицы!U16))</f>
        <v>50</v>
      </c>
      <c r="AO13" s="228"/>
      <c r="AP13" s="436"/>
      <c r="AQ13" s="436"/>
      <c r="AR13" s="13"/>
      <c r="AS13" s="13"/>
      <c r="AT13" s="287">
        <f>IF(Таблицы!M16=20,SUM(AX13*2,BB13*2/2,INT(BF13*2/3),INT(BJ13*2/4),INT(BN13*2/5)),SUM(AX13,INT(BB13/2),INT(BF13/3),INT(BJ13/4),INT(BN13/5)))</f>
        <v>0</v>
      </c>
      <c r="AU13" s="287"/>
      <c r="AV13" s="13"/>
      <c r="AW13" s="434"/>
      <c r="AX13" s="413"/>
      <c r="AY13" s="413"/>
      <c r="AZ13" s="13"/>
      <c r="BA13" s="434"/>
      <c r="BB13" s="413"/>
      <c r="BC13" s="413"/>
      <c r="BD13" s="13"/>
      <c r="BE13" s="434"/>
      <c r="BF13" s="413"/>
      <c r="BG13" s="413"/>
      <c r="BH13" s="13"/>
      <c r="BI13" s="434"/>
      <c r="BJ13" s="413"/>
      <c r="BK13" s="413"/>
      <c r="BL13" s="13"/>
      <c r="BM13" s="434"/>
      <c r="BN13" s="413"/>
      <c r="BO13" s="413"/>
      <c r="BP13" s="13"/>
      <c r="BQ13" s="29"/>
      <c r="BR13" s="13"/>
    </row>
    <row r="14" spans="1:70" ht="7.5" customHeight="1">
      <c r="A14" s="16"/>
      <c r="B14" s="448" t="s">
        <v>58</v>
      </c>
      <c r="C14" s="449"/>
      <c r="D14" s="449"/>
      <c r="E14" s="449"/>
      <c r="F14" s="449"/>
      <c r="G14" s="449" t="s">
        <v>59</v>
      </c>
      <c r="H14" s="449"/>
      <c r="I14" s="449"/>
      <c r="J14" s="449"/>
      <c r="K14" s="449"/>
      <c r="L14" s="449"/>
      <c r="M14" s="449" t="s">
        <v>60</v>
      </c>
      <c r="N14" s="449"/>
      <c r="O14" s="449"/>
      <c r="P14" s="449"/>
      <c r="Q14" s="449"/>
      <c r="R14" s="449"/>
      <c r="S14" s="449" t="s">
        <v>61</v>
      </c>
      <c r="T14" s="449"/>
      <c r="U14" s="449"/>
      <c r="V14" s="449"/>
      <c r="W14" s="449"/>
      <c r="X14" s="450"/>
      <c r="Y14" s="29"/>
      <c r="Z14" s="19"/>
      <c r="AA14" s="15"/>
      <c r="AB14" s="15"/>
      <c r="AC14" s="172"/>
      <c r="AD14" s="172"/>
      <c r="AE14" s="172"/>
      <c r="AF14" s="172"/>
      <c r="AG14" s="172"/>
      <c r="AH14" s="172"/>
      <c r="AI14" s="172"/>
      <c r="AJ14" s="172"/>
      <c r="AK14" s="435"/>
      <c r="AL14" s="435"/>
      <c r="AM14" s="13"/>
      <c r="AN14" s="228"/>
      <c r="AO14" s="228"/>
      <c r="AP14" s="436"/>
      <c r="AQ14" s="436"/>
      <c r="AR14" s="15"/>
      <c r="AS14" s="13"/>
      <c r="AT14" s="228"/>
      <c r="AU14" s="228"/>
      <c r="AV14" s="13"/>
      <c r="AW14" s="434"/>
      <c r="AX14" s="413"/>
      <c r="AY14" s="413"/>
      <c r="AZ14" s="13"/>
      <c r="BA14" s="434"/>
      <c r="BB14" s="413"/>
      <c r="BC14" s="413"/>
      <c r="BD14" s="13"/>
      <c r="BE14" s="434"/>
      <c r="BF14" s="413"/>
      <c r="BG14" s="413"/>
      <c r="BH14" s="13"/>
      <c r="BI14" s="434"/>
      <c r="BJ14" s="413"/>
      <c r="BK14" s="413"/>
      <c r="BL14" s="13"/>
      <c r="BM14" s="434"/>
      <c r="BN14" s="413"/>
      <c r="BO14" s="413"/>
      <c r="BP14" s="13"/>
      <c r="BQ14" s="29"/>
      <c r="BR14" s="13"/>
    </row>
    <row r="15" spans="1:70" ht="7.5" customHeight="1" thickBot="1">
      <c r="A15" s="16"/>
      <c r="B15" s="451"/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3"/>
      <c r="Y15" s="29"/>
      <c r="Z15" s="19"/>
      <c r="AA15" s="15"/>
      <c r="AB15" s="15"/>
      <c r="AC15" s="172" t="s">
        <v>78</v>
      </c>
      <c r="AD15" s="172"/>
      <c r="AE15" s="172"/>
      <c r="AF15" s="172"/>
      <c r="AG15" s="172"/>
      <c r="AH15" s="172"/>
      <c r="AI15" s="172"/>
      <c r="AJ15" s="172"/>
      <c r="AK15" s="435">
        <f>SUM(AN15:AQ16)+IF(Таблицы!AO35=5,Таблицы!AO32,0)+AT15</f>
        <v>40</v>
      </c>
      <c r="AL15" s="435"/>
      <c r="AM15" s="13"/>
      <c r="AN15" s="228">
        <f>IF(D36=0,"",20+(2*SUM(D36,D26)+Таблицы!M17+Таблицы!U17))</f>
        <v>40</v>
      </c>
      <c r="AO15" s="228"/>
      <c r="AP15" s="436"/>
      <c r="AQ15" s="436"/>
      <c r="AR15" s="13"/>
      <c r="AS15" s="13"/>
      <c r="AT15" s="287">
        <f>IF(Таблицы!M17=20,SUM(AX15*2,BB15*2/2,INT(BF15*2/3),INT(BJ15*2/4),INT(BN15*2/5)),SUM(AX15,INT(BB15/2),INT(BF15/3),INT(BJ15/4),INT(BN15/5)))</f>
        <v>0</v>
      </c>
      <c r="AU15" s="287"/>
      <c r="AV15" s="13"/>
      <c r="AW15" s="434"/>
      <c r="AX15" s="413"/>
      <c r="AY15" s="413"/>
      <c r="AZ15" s="13"/>
      <c r="BA15" s="434"/>
      <c r="BB15" s="413"/>
      <c r="BC15" s="413"/>
      <c r="BD15" s="13"/>
      <c r="BE15" s="434"/>
      <c r="BF15" s="413"/>
      <c r="BG15" s="413"/>
      <c r="BH15" s="13"/>
      <c r="BI15" s="434"/>
      <c r="BJ15" s="413"/>
      <c r="BK15" s="413"/>
      <c r="BL15" s="13"/>
      <c r="BM15" s="434"/>
      <c r="BN15" s="413"/>
      <c r="BO15" s="413"/>
      <c r="BP15" s="13"/>
      <c r="BQ15" s="29"/>
      <c r="BR15" s="13"/>
    </row>
    <row r="16" spans="1:70" ht="6.75" customHeight="1">
      <c r="A16" s="19"/>
      <c r="B16" s="287">
        <f>VLOOKUP(G16,Таблицы!A2:B32,2,TRUE)</f>
        <v>1</v>
      </c>
      <c r="C16" s="287"/>
      <c r="D16" s="287"/>
      <c r="E16" s="287"/>
      <c r="F16" s="287"/>
      <c r="G16" s="254">
        <v>0</v>
      </c>
      <c r="H16" s="254"/>
      <c r="I16" s="254"/>
      <c r="J16" s="254"/>
      <c r="K16" s="254"/>
      <c r="L16" s="254"/>
      <c r="M16" s="287">
        <f>VLOOKUP(B16+1,Таблицы!B2:C32,2,FALSE)</f>
        <v>1000</v>
      </c>
      <c r="N16" s="287"/>
      <c r="O16" s="287"/>
      <c r="P16" s="287"/>
      <c r="Q16" s="287"/>
      <c r="R16" s="287"/>
      <c r="S16" s="254"/>
      <c r="T16" s="254"/>
      <c r="U16" s="254"/>
      <c r="V16" s="254"/>
      <c r="W16" s="254"/>
      <c r="X16" s="254"/>
      <c r="Y16" s="29"/>
      <c r="Z16" s="19"/>
      <c r="AA16" s="15"/>
      <c r="AB16" s="15"/>
      <c r="AC16" s="172"/>
      <c r="AD16" s="172"/>
      <c r="AE16" s="172"/>
      <c r="AF16" s="172"/>
      <c r="AG16" s="172"/>
      <c r="AH16" s="172"/>
      <c r="AI16" s="172"/>
      <c r="AJ16" s="172"/>
      <c r="AK16" s="435"/>
      <c r="AL16" s="435"/>
      <c r="AM16" s="13"/>
      <c r="AN16" s="228"/>
      <c r="AO16" s="228"/>
      <c r="AP16" s="436"/>
      <c r="AQ16" s="436"/>
      <c r="AR16" s="15"/>
      <c r="AS16" s="13"/>
      <c r="AT16" s="228"/>
      <c r="AU16" s="228"/>
      <c r="AV16" s="13"/>
      <c r="AW16" s="434"/>
      <c r="AX16" s="413"/>
      <c r="AY16" s="413"/>
      <c r="AZ16" s="13"/>
      <c r="BA16" s="434"/>
      <c r="BB16" s="413"/>
      <c r="BC16" s="413"/>
      <c r="BD16" s="13"/>
      <c r="BE16" s="434"/>
      <c r="BF16" s="413"/>
      <c r="BG16" s="413"/>
      <c r="BH16" s="13"/>
      <c r="BI16" s="434"/>
      <c r="BJ16" s="413"/>
      <c r="BK16" s="413"/>
      <c r="BL16" s="13"/>
      <c r="BM16" s="434"/>
      <c r="BN16" s="413"/>
      <c r="BO16" s="413"/>
      <c r="BP16" s="13"/>
      <c r="BQ16" s="29"/>
      <c r="BR16" s="13"/>
    </row>
    <row r="17" spans="1:70" ht="7.5" customHeight="1" thickBot="1">
      <c r="A17" s="20"/>
      <c r="B17" s="483"/>
      <c r="C17" s="483"/>
      <c r="D17" s="483"/>
      <c r="E17" s="483"/>
      <c r="F17" s="483"/>
      <c r="G17" s="468"/>
      <c r="H17" s="468"/>
      <c r="I17" s="468"/>
      <c r="J17" s="468"/>
      <c r="K17" s="468"/>
      <c r="L17" s="468"/>
      <c r="M17" s="483"/>
      <c r="N17" s="483"/>
      <c r="O17" s="483"/>
      <c r="P17" s="483"/>
      <c r="Q17" s="483"/>
      <c r="R17" s="483"/>
      <c r="S17" s="468"/>
      <c r="T17" s="468"/>
      <c r="U17" s="468"/>
      <c r="V17" s="468"/>
      <c r="W17" s="468"/>
      <c r="X17" s="468"/>
      <c r="Y17" s="29"/>
      <c r="Z17" s="19"/>
      <c r="AA17" s="15"/>
      <c r="AB17" s="15"/>
      <c r="AC17" s="172" t="s">
        <v>1168</v>
      </c>
      <c r="AD17" s="172"/>
      <c r="AE17" s="172"/>
      <c r="AF17" s="172"/>
      <c r="AG17" s="172"/>
      <c r="AH17" s="172"/>
      <c r="AI17" s="172"/>
      <c r="AJ17" s="172"/>
      <c r="AK17" s="435">
        <f>SUM(AN17:AQ18)+IF(Таблицы!AO35=6,Таблицы!AO32,0)+AT17</f>
        <v>20</v>
      </c>
      <c r="AL17" s="435"/>
      <c r="AM17" s="13"/>
      <c r="AN17" s="228">
        <f>IF(D36=0,"",(D36*4)+Таблицы!M18+Таблицы!U18)</f>
        <v>20</v>
      </c>
      <c r="AO17" s="228"/>
      <c r="AP17" s="436"/>
      <c r="AQ17" s="436"/>
      <c r="AR17" s="13"/>
      <c r="AS17" s="13"/>
      <c r="AT17" s="287">
        <f>IF(Таблицы!M18=20,SUM(AX17*2,BB17*2/2,INT(BF17*2/3),INT(BJ17*2/4),INT(BN17*2/5)),SUM(AX17,INT(BB17/2),INT(BF17/3),INT(BJ17/4),INT(BN17/5)))</f>
        <v>0</v>
      </c>
      <c r="AU17" s="287"/>
      <c r="AV17" s="13"/>
      <c r="AW17" s="434"/>
      <c r="AX17" s="413"/>
      <c r="AY17" s="413"/>
      <c r="AZ17" s="13"/>
      <c r="BA17" s="434"/>
      <c r="BB17" s="413"/>
      <c r="BC17" s="413"/>
      <c r="BD17" s="13"/>
      <c r="BE17" s="434"/>
      <c r="BF17" s="413"/>
      <c r="BG17" s="413"/>
      <c r="BH17" s="13"/>
      <c r="BI17" s="434"/>
      <c r="BJ17" s="413"/>
      <c r="BK17" s="413"/>
      <c r="BL17" s="13"/>
      <c r="BM17" s="434"/>
      <c r="BN17" s="413"/>
      <c r="BO17" s="413"/>
      <c r="BP17" s="13"/>
      <c r="BQ17" s="29"/>
      <c r="BR17" s="13"/>
    </row>
    <row r="18" spans="1:70" ht="7.5" customHeight="1">
      <c r="A18" s="16"/>
      <c r="B18" s="448" t="s">
        <v>92</v>
      </c>
      <c r="C18" s="449"/>
      <c r="D18" s="449"/>
      <c r="E18" s="449"/>
      <c r="F18" s="449"/>
      <c r="G18" s="449" t="s">
        <v>62</v>
      </c>
      <c r="H18" s="449"/>
      <c r="I18" s="449"/>
      <c r="J18" s="449"/>
      <c r="K18" s="449"/>
      <c r="L18" s="449"/>
      <c r="M18" s="449" t="s">
        <v>63</v>
      </c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50"/>
      <c r="Y18" s="29"/>
      <c r="Z18" s="19"/>
      <c r="AA18" s="15"/>
      <c r="AB18" s="15"/>
      <c r="AC18" s="172"/>
      <c r="AD18" s="172"/>
      <c r="AE18" s="172"/>
      <c r="AF18" s="172"/>
      <c r="AG18" s="172"/>
      <c r="AH18" s="172"/>
      <c r="AI18" s="172"/>
      <c r="AJ18" s="172"/>
      <c r="AK18" s="435"/>
      <c r="AL18" s="435"/>
      <c r="AM18" s="13"/>
      <c r="AN18" s="228"/>
      <c r="AO18" s="228"/>
      <c r="AP18" s="436"/>
      <c r="AQ18" s="436"/>
      <c r="AR18" s="15"/>
      <c r="AS18" s="13"/>
      <c r="AT18" s="228"/>
      <c r="AU18" s="228"/>
      <c r="AV18" s="13"/>
      <c r="AW18" s="434"/>
      <c r="AX18" s="413"/>
      <c r="AY18" s="413"/>
      <c r="AZ18" s="13"/>
      <c r="BA18" s="434"/>
      <c r="BB18" s="413"/>
      <c r="BC18" s="413"/>
      <c r="BD18" s="13"/>
      <c r="BE18" s="434"/>
      <c r="BF18" s="413"/>
      <c r="BG18" s="413"/>
      <c r="BH18" s="13"/>
      <c r="BI18" s="434"/>
      <c r="BJ18" s="413"/>
      <c r="BK18" s="413"/>
      <c r="BL18" s="13"/>
      <c r="BM18" s="434"/>
      <c r="BN18" s="413"/>
      <c r="BO18" s="413"/>
      <c r="BP18" s="13"/>
      <c r="BQ18" s="29"/>
      <c r="BR18" s="13"/>
    </row>
    <row r="19" spans="1:70" ht="6.75" customHeight="1" thickBot="1">
      <c r="A19" s="19"/>
      <c r="B19" s="451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3"/>
      <c r="Y19" s="29"/>
      <c r="Z19" s="19"/>
      <c r="AA19" s="15"/>
      <c r="AB19" s="15"/>
      <c r="AC19" s="172" t="s">
        <v>79</v>
      </c>
      <c r="AD19" s="172"/>
      <c r="AE19" s="172"/>
      <c r="AF19" s="172"/>
      <c r="AG19" s="172"/>
      <c r="AH19" s="172"/>
      <c r="AI19" s="172"/>
      <c r="AJ19" s="172"/>
      <c r="AK19" s="435">
        <f>SUM(AN19:AQ20)+AT19</f>
        <v>20</v>
      </c>
      <c r="AL19" s="435"/>
      <c r="AM19" s="13"/>
      <c r="AN19" s="228">
        <f>IF(D36=0,"",(2*SUM(D28,D34))+Таблицы!M19+Таблицы!U19)</f>
        <v>20</v>
      </c>
      <c r="AO19" s="228"/>
      <c r="AP19" s="436"/>
      <c r="AQ19" s="436"/>
      <c r="AR19" s="13"/>
      <c r="AS19" s="13"/>
      <c r="AT19" s="287">
        <f>IF(Таблицы!M19=20,SUM(AX19*2,BB19*2/2,INT(BF19*2/3),INT(BJ19*2/4),INT(BN19*2/5)),SUM(AX19,INT(BB19/2),INT(BF19/3),INT(BJ19/4),INT(BN19/5)))</f>
        <v>0</v>
      </c>
      <c r="AU19" s="287"/>
      <c r="AV19" s="13"/>
      <c r="AW19" s="434"/>
      <c r="AX19" s="413"/>
      <c r="AY19" s="413"/>
      <c r="AZ19" s="13"/>
      <c r="BA19" s="434"/>
      <c r="BB19" s="413"/>
      <c r="BC19" s="413"/>
      <c r="BD19" s="13"/>
      <c r="BE19" s="434"/>
      <c r="BF19" s="413"/>
      <c r="BG19" s="413"/>
      <c r="BH19" s="13"/>
      <c r="BI19" s="434"/>
      <c r="BJ19" s="413"/>
      <c r="BK19" s="413"/>
      <c r="BL19" s="13"/>
      <c r="BM19" s="434"/>
      <c r="BN19" s="413"/>
      <c r="BO19" s="413"/>
      <c r="BP19" s="13"/>
      <c r="BQ19" s="29"/>
      <c r="BR19" s="13"/>
    </row>
    <row r="20" spans="1:70" ht="7.5" customHeight="1">
      <c r="A20" s="21"/>
      <c r="B20" s="287">
        <f>IF(OR(Таблицы!F28=16,Таблицы!F29=16),SUM(INDEX(Таблицы!F2:S10,Таблицы!E1,10),1),INDEX(Таблицы!F2:S10,Таблицы!E1,10))</f>
        <v>3</v>
      </c>
      <c r="C20" s="287"/>
      <c r="D20" s="287"/>
      <c r="E20" s="287"/>
      <c r="F20" s="287"/>
      <c r="G20" s="287">
        <f>ROUNDDOWN(3+(D30/2),0)+INDEX(Таблицы!R2:R10,Таблицы!E1,1)</f>
        <v>5</v>
      </c>
      <c r="H20" s="287"/>
      <c r="I20" s="287"/>
      <c r="J20" s="287"/>
      <c r="K20" s="287"/>
      <c r="L20" s="287"/>
      <c r="M20" s="287">
        <f>IF(D34=0,"",IF(OR(Таблицы!F28=16,Таблицы!F29=16,Таблицы!F28=17,Таблицы!F29=17),SUM(5+(2*D34),IF(OR(Таблицы!F28=16,Таблицы!F29=16),Таблицы!L46,0),IF(OR(Таблицы!F28=17,Таблицы!F29=17),Таблицы!L48,0)),5+(2*D34)))+INDEX(Таблицы!U2:U10,Таблицы!E1,1)</f>
        <v>15</v>
      </c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31"/>
      <c r="Z20" s="42"/>
      <c r="AA20" s="15"/>
      <c r="AB20" s="15"/>
      <c r="AC20" s="172"/>
      <c r="AD20" s="172"/>
      <c r="AE20" s="172"/>
      <c r="AF20" s="172"/>
      <c r="AG20" s="172"/>
      <c r="AH20" s="172"/>
      <c r="AI20" s="172"/>
      <c r="AJ20" s="172"/>
      <c r="AK20" s="435"/>
      <c r="AL20" s="435"/>
      <c r="AM20" s="13"/>
      <c r="AN20" s="228"/>
      <c r="AO20" s="228"/>
      <c r="AP20" s="436"/>
      <c r="AQ20" s="436"/>
      <c r="AR20" s="13"/>
      <c r="AS20" s="13"/>
      <c r="AT20" s="228"/>
      <c r="AU20" s="228"/>
      <c r="AV20" s="13"/>
      <c r="AW20" s="434"/>
      <c r="AX20" s="413"/>
      <c r="AY20" s="413"/>
      <c r="AZ20" s="13"/>
      <c r="BA20" s="434"/>
      <c r="BB20" s="413"/>
      <c r="BC20" s="413"/>
      <c r="BD20" s="13"/>
      <c r="BE20" s="434"/>
      <c r="BF20" s="413"/>
      <c r="BG20" s="413"/>
      <c r="BH20" s="13"/>
      <c r="BI20" s="434"/>
      <c r="BJ20" s="413"/>
      <c r="BK20" s="413"/>
      <c r="BL20" s="13"/>
      <c r="BM20" s="434"/>
      <c r="BN20" s="413"/>
      <c r="BO20" s="413"/>
      <c r="BP20" s="13"/>
      <c r="BQ20" s="29"/>
      <c r="BR20" s="13"/>
    </row>
    <row r="21" spans="1:70" ht="7.5" customHeight="1">
      <c r="A21" s="19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31"/>
      <c r="Z21" s="42"/>
      <c r="AA21" s="15"/>
      <c r="AB21" s="15"/>
      <c r="AC21" s="172" t="s">
        <v>80</v>
      </c>
      <c r="AD21" s="172"/>
      <c r="AE21" s="172"/>
      <c r="AF21" s="172"/>
      <c r="AG21" s="172"/>
      <c r="AH21" s="172"/>
      <c r="AI21" s="172"/>
      <c r="AJ21" s="172"/>
      <c r="AK21" s="435">
        <f>SUM(AN21:AQ22)+AT21</f>
        <v>15</v>
      </c>
      <c r="AL21" s="435"/>
      <c r="AM21" s="13"/>
      <c r="AN21" s="228">
        <f>IF(D36=0,"",(5+SUM(D28,D34)+Таблицы!M20+Таблицы!U20))</f>
        <v>15</v>
      </c>
      <c r="AO21" s="228"/>
      <c r="AP21" s="436"/>
      <c r="AQ21" s="436"/>
      <c r="AR21" s="13"/>
      <c r="AS21" s="13"/>
      <c r="AT21" s="287">
        <f>IF(Таблицы!M20=20,SUM(AX21*2,BB21*2/2,INT(BF21*2/3),INT(BJ21*2/4),INT(BN21*2/5)),SUM(AX21,INT(BB21/2),INT(BF21/3),INT(BJ21/4),INT(BN21/5)))</f>
        <v>0</v>
      </c>
      <c r="AU21" s="287"/>
      <c r="AV21" s="13"/>
      <c r="AW21" s="434"/>
      <c r="AX21" s="413"/>
      <c r="AY21" s="413"/>
      <c r="AZ21" s="13"/>
      <c r="BA21" s="434"/>
      <c r="BB21" s="413"/>
      <c r="BC21" s="413"/>
      <c r="BD21" s="13"/>
      <c r="BE21" s="434"/>
      <c r="BF21" s="413"/>
      <c r="BG21" s="413"/>
      <c r="BH21" s="13"/>
      <c r="BI21" s="434"/>
      <c r="BJ21" s="413"/>
      <c r="BK21" s="413"/>
      <c r="BL21" s="22"/>
      <c r="BM21" s="434"/>
      <c r="BN21" s="413"/>
      <c r="BO21" s="413"/>
      <c r="BP21" s="13"/>
      <c r="BQ21" s="29"/>
      <c r="BR21" s="13"/>
    </row>
    <row r="22" spans="1:70" ht="7.5" customHeight="1">
      <c r="A22" s="65"/>
      <c r="B22" s="46"/>
      <c r="C22" s="46"/>
      <c r="D22" s="46"/>
      <c r="E22" s="46"/>
      <c r="F22" s="68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66"/>
      <c r="Z22" s="19"/>
      <c r="AA22" s="15"/>
      <c r="AB22" s="15"/>
      <c r="AC22" s="172"/>
      <c r="AD22" s="172"/>
      <c r="AE22" s="172"/>
      <c r="AF22" s="172"/>
      <c r="AG22" s="172"/>
      <c r="AH22" s="172"/>
      <c r="AI22" s="172"/>
      <c r="AJ22" s="172"/>
      <c r="AK22" s="435"/>
      <c r="AL22" s="435"/>
      <c r="AM22" s="13"/>
      <c r="AN22" s="228"/>
      <c r="AO22" s="228"/>
      <c r="AP22" s="436"/>
      <c r="AQ22" s="436"/>
      <c r="AR22" s="13"/>
      <c r="AS22" s="13"/>
      <c r="AT22" s="228"/>
      <c r="AU22" s="228"/>
      <c r="AV22" s="13"/>
      <c r="AW22" s="434"/>
      <c r="AX22" s="413"/>
      <c r="AY22" s="413"/>
      <c r="AZ22" s="13"/>
      <c r="BA22" s="434"/>
      <c r="BB22" s="413"/>
      <c r="BC22" s="413"/>
      <c r="BD22" s="13"/>
      <c r="BE22" s="434"/>
      <c r="BF22" s="413"/>
      <c r="BG22" s="413"/>
      <c r="BH22" s="13"/>
      <c r="BI22" s="434"/>
      <c r="BJ22" s="413"/>
      <c r="BK22" s="413"/>
      <c r="BL22" s="22"/>
      <c r="BM22" s="434"/>
      <c r="BN22" s="413"/>
      <c r="BO22" s="413"/>
      <c r="BP22" s="13"/>
      <c r="BQ22" s="29"/>
      <c r="BR22" s="13"/>
    </row>
    <row r="23" spans="1:70" ht="7.5" customHeight="1" thickBot="1">
      <c r="A23" s="19"/>
      <c r="B23" s="13"/>
      <c r="C23" s="13"/>
      <c r="D23" s="13"/>
      <c r="E23" s="13"/>
      <c r="F23" s="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29"/>
      <c r="Z23" s="19"/>
      <c r="AA23" s="15"/>
      <c r="AB23" s="15"/>
      <c r="AC23" s="172" t="s">
        <v>81</v>
      </c>
      <c r="AD23" s="172"/>
      <c r="AE23" s="172"/>
      <c r="AF23" s="172"/>
      <c r="AG23" s="172"/>
      <c r="AH23" s="172"/>
      <c r="AI23" s="172"/>
      <c r="AJ23" s="172"/>
      <c r="AK23" s="435">
        <f>SUM(AN23:AQ24)+AT23</f>
        <v>20</v>
      </c>
      <c r="AL23" s="435"/>
      <c r="AM23" s="13"/>
      <c r="AN23" s="228">
        <f>IF(D36=0,"",5+(3*D36)+Таблицы!M21+Таблицы!U21)</f>
        <v>20</v>
      </c>
      <c r="AO23" s="228"/>
      <c r="AP23" s="436"/>
      <c r="AQ23" s="436"/>
      <c r="AR23" s="13"/>
      <c r="AS23" s="13"/>
      <c r="AT23" s="287">
        <f>IF(Таблицы!M21=20,SUM(AX23*2,BB23*2/2,INT(BF23*2/3),INT(BJ23*2/4),INT(BN23*2/5)),SUM(AX23,INT(BB23/2),INT(BF23/3),INT(BJ23/4),INT(BN23/5)))</f>
        <v>0</v>
      </c>
      <c r="AU23" s="287"/>
      <c r="AV23" s="13"/>
      <c r="AW23" s="434"/>
      <c r="AX23" s="413"/>
      <c r="AY23" s="413"/>
      <c r="AZ23" s="13"/>
      <c r="BA23" s="434"/>
      <c r="BB23" s="413"/>
      <c r="BC23" s="413"/>
      <c r="BD23" s="13"/>
      <c r="BE23" s="434"/>
      <c r="BF23" s="413"/>
      <c r="BG23" s="413"/>
      <c r="BH23" s="13"/>
      <c r="BI23" s="434"/>
      <c r="BJ23" s="413"/>
      <c r="BK23" s="413"/>
      <c r="BL23" s="22"/>
      <c r="BM23" s="434"/>
      <c r="BN23" s="413"/>
      <c r="BO23" s="413"/>
      <c r="BP23" s="13"/>
      <c r="BQ23" s="29"/>
      <c r="BR23" s="13"/>
    </row>
    <row r="24" spans="1:70" ht="7.5" customHeight="1">
      <c r="A24" s="19"/>
      <c r="B24" s="488" t="s">
        <v>94</v>
      </c>
      <c r="C24" s="489"/>
      <c r="D24" s="424" t="s">
        <v>222</v>
      </c>
      <c r="E24" s="424"/>
      <c r="F24" s="425"/>
      <c r="G24" s="13"/>
      <c r="H24" s="415" t="s">
        <v>95</v>
      </c>
      <c r="I24" s="442"/>
      <c r="J24" s="442"/>
      <c r="K24" s="455" t="s">
        <v>74</v>
      </c>
      <c r="L24" s="455"/>
      <c r="M24" s="455"/>
      <c r="N24" s="458" t="s">
        <v>8</v>
      </c>
      <c r="O24" s="458"/>
      <c r="P24" s="459"/>
      <c r="Q24" s="13"/>
      <c r="R24" s="448" t="s">
        <v>272</v>
      </c>
      <c r="S24" s="449"/>
      <c r="T24" s="449"/>
      <c r="U24" s="449"/>
      <c r="V24" s="449"/>
      <c r="W24" s="449"/>
      <c r="X24" s="450"/>
      <c r="Y24" s="29"/>
      <c r="Z24" s="19"/>
      <c r="AA24" s="15"/>
      <c r="AB24" s="15"/>
      <c r="AC24" s="172"/>
      <c r="AD24" s="172"/>
      <c r="AE24" s="172"/>
      <c r="AF24" s="172"/>
      <c r="AG24" s="172"/>
      <c r="AH24" s="172"/>
      <c r="AI24" s="172"/>
      <c r="AJ24" s="172"/>
      <c r="AK24" s="435"/>
      <c r="AL24" s="435"/>
      <c r="AM24" s="13"/>
      <c r="AN24" s="228"/>
      <c r="AO24" s="228"/>
      <c r="AP24" s="436"/>
      <c r="AQ24" s="436"/>
      <c r="AR24" s="13"/>
      <c r="AS24" s="13"/>
      <c r="AT24" s="228"/>
      <c r="AU24" s="228"/>
      <c r="AV24" s="13"/>
      <c r="AW24" s="434"/>
      <c r="AX24" s="413"/>
      <c r="AY24" s="413"/>
      <c r="AZ24" s="13"/>
      <c r="BA24" s="434"/>
      <c r="BB24" s="413"/>
      <c r="BC24" s="413"/>
      <c r="BD24" s="13"/>
      <c r="BE24" s="434"/>
      <c r="BF24" s="413"/>
      <c r="BG24" s="413"/>
      <c r="BH24" s="13"/>
      <c r="BI24" s="434"/>
      <c r="BJ24" s="413"/>
      <c r="BK24" s="413"/>
      <c r="BL24" s="22"/>
      <c r="BM24" s="434"/>
      <c r="BN24" s="413"/>
      <c r="BO24" s="413"/>
      <c r="BP24" s="13"/>
      <c r="BQ24" s="29"/>
      <c r="BR24" s="13"/>
    </row>
    <row r="25" spans="1:70" ht="7.5" customHeight="1" thickBot="1">
      <c r="A25" s="21"/>
      <c r="B25" s="490"/>
      <c r="C25" s="491"/>
      <c r="D25" s="427"/>
      <c r="E25" s="427"/>
      <c r="F25" s="428"/>
      <c r="G25" s="13"/>
      <c r="H25" s="443"/>
      <c r="I25" s="444"/>
      <c r="J25" s="444"/>
      <c r="K25" s="457"/>
      <c r="L25" s="457"/>
      <c r="M25" s="457"/>
      <c r="N25" s="460"/>
      <c r="O25" s="460"/>
      <c r="P25" s="461"/>
      <c r="Q25" s="13"/>
      <c r="R25" s="451"/>
      <c r="S25" s="452"/>
      <c r="T25" s="452"/>
      <c r="U25" s="452"/>
      <c r="V25" s="452"/>
      <c r="W25" s="452"/>
      <c r="X25" s="453"/>
      <c r="Y25" s="29"/>
      <c r="Z25" s="19"/>
      <c r="AA25" s="15"/>
      <c r="AB25" s="15"/>
      <c r="AC25" s="172" t="s">
        <v>82</v>
      </c>
      <c r="AD25" s="172"/>
      <c r="AE25" s="172"/>
      <c r="AF25" s="172"/>
      <c r="AG25" s="172"/>
      <c r="AH25" s="172"/>
      <c r="AI25" s="172"/>
      <c r="AJ25" s="172"/>
      <c r="AK25" s="435">
        <f>SUM(AN25:AQ26)+AT25</f>
        <v>20</v>
      </c>
      <c r="AL25" s="435"/>
      <c r="AM25" s="13"/>
      <c r="AN25" s="228">
        <f>IF(D36=0,"",10+(SUM(D28,D36)+Таблицы!M22+Таблицы!U22))</f>
        <v>20</v>
      </c>
      <c r="AO25" s="228"/>
      <c r="AP25" s="436"/>
      <c r="AQ25" s="436"/>
      <c r="AR25" s="13"/>
      <c r="AS25" s="13"/>
      <c r="AT25" s="287">
        <f>IF(Таблицы!M22=20,SUM(AX25*2,BB25*2/2,INT(BF25*2/3),INT(BJ25*2/4),INT(BN25*2/5)),SUM(AX25,INT(BB25/2),INT(BF25/3),INT(BJ25/4),INT(BN25/5)))</f>
        <v>0</v>
      </c>
      <c r="AU25" s="287"/>
      <c r="AV25" s="13"/>
      <c r="AW25" s="434"/>
      <c r="AX25" s="413"/>
      <c r="AY25" s="413"/>
      <c r="AZ25" s="13"/>
      <c r="BA25" s="434"/>
      <c r="BB25" s="413"/>
      <c r="BC25" s="413"/>
      <c r="BD25" s="13"/>
      <c r="BE25" s="434"/>
      <c r="BF25" s="413"/>
      <c r="BG25" s="413"/>
      <c r="BH25" s="13"/>
      <c r="BI25" s="434"/>
      <c r="BJ25" s="413"/>
      <c r="BK25" s="413"/>
      <c r="BL25" s="22"/>
      <c r="BM25" s="434"/>
      <c r="BN25" s="413"/>
      <c r="BO25" s="413"/>
      <c r="BP25" s="13"/>
      <c r="BQ25" s="29"/>
      <c r="BR25" s="13"/>
    </row>
    <row r="26" spans="1:70" ht="7.5" customHeight="1">
      <c r="A26" s="16"/>
      <c r="B26" s="492" t="s">
        <v>258</v>
      </c>
      <c r="C26" s="385"/>
      <c r="D26" s="287">
        <f>SUM(K26+N26,IF(OR(Таблицы!F28=3,Таблицы!F29=3),Таблицы!L35,0),IF(OR(Таблицы!F28=17,Таблицы!F29=17),Таблицы!L49,0))</f>
        <v>5</v>
      </c>
      <c r="E26" s="287"/>
      <c r="F26" s="465"/>
      <c r="G26" s="13"/>
      <c r="H26" s="445" t="str">
        <f>INDEX(Таблицы!F2:L11,Таблицы!E1,1)</f>
        <v>1/10</v>
      </c>
      <c r="I26" s="446"/>
      <c r="J26" s="447"/>
      <c r="K26" s="287">
        <f>INDEX(Таблицы!AF2:AL10,Таблицы!E1,1)</f>
        <v>5</v>
      </c>
      <c r="L26" s="287"/>
      <c r="M26" s="287"/>
      <c r="N26" s="254"/>
      <c r="O26" s="254"/>
      <c r="P26" s="254"/>
      <c r="Q26" s="13"/>
      <c r="R26" s="414"/>
      <c r="S26" s="414"/>
      <c r="T26" s="414"/>
      <c r="U26" s="414"/>
      <c r="V26" s="414"/>
      <c r="W26" s="414"/>
      <c r="X26" s="414"/>
      <c r="Y26" s="29"/>
      <c r="Z26" s="19"/>
      <c r="AA26" s="15"/>
      <c r="AB26" s="15"/>
      <c r="AC26" s="172"/>
      <c r="AD26" s="172"/>
      <c r="AE26" s="172"/>
      <c r="AF26" s="172"/>
      <c r="AG26" s="172"/>
      <c r="AH26" s="172"/>
      <c r="AI26" s="172"/>
      <c r="AJ26" s="172"/>
      <c r="AK26" s="435"/>
      <c r="AL26" s="435"/>
      <c r="AM26" s="13"/>
      <c r="AN26" s="228"/>
      <c r="AO26" s="228"/>
      <c r="AP26" s="436"/>
      <c r="AQ26" s="436"/>
      <c r="AR26" s="13"/>
      <c r="AS26" s="13"/>
      <c r="AT26" s="228"/>
      <c r="AU26" s="228"/>
      <c r="AV26" s="13"/>
      <c r="AW26" s="434"/>
      <c r="AX26" s="413"/>
      <c r="AY26" s="413"/>
      <c r="AZ26" s="13"/>
      <c r="BA26" s="434"/>
      <c r="BB26" s="413"/>
      <c r="BC26" s="413"/>
      <c r="BD26" s="13"/>
      <c r="BE26" s="434"/>
      <c r="BF26" s="413"/>
      <c r="BG26" s="413"/>
      <c r="BH26" s="13"/>
      <c r="BI26" s="434"/>
      <c r="BJ26" s="413"/>
      <c r="BK26" s="413"/>
      <c r="BL26" s="22"/>
      <c r="BM26" s="434"/>
      <c r="BN26" s="413"/>
      <c r="BO26" s="413"/>
      <c r="BP26" s="13"/>
      <c r="BQ26" s="29"/>
      <c r="BR26" s="13"/>
    </row>
    <row r="27" spans="1:70" ht="7.5" customHeight="1" thickBot="1">
      <c r="A27" s="16"/>
      <c r="B27" s="487"/>
      <c r="C27" s="347"/>
      <c r="D27" s="228"/>
      <c r="E27" s="228"/>
      <c r="F27" s="439"/>
      <c r="G27" s="13"/>
      <c r="H27" s="357"/>
      <c r="I27" s="358"/>
      <c r="J27" s="359"/>
      <c r="K27" s="228"/>
      <c r="L27" s="228"/>
      <c r="M27" s="228"/>
      <c r="N27" s="227"/>
      <c r="O27" s="227"/>
      <c r="P27" s="227"/>
      <c r="Q27" s="13"/>
      <c r="R27" s="467"/>
      <c r="S27" s="467"/>
      <c r="T27" s="467"/>
      <c r="U27" s="467"/>
      <c r="V27" s="467"/>
      <c r="W27" s="467"/>
      <c r="X27" s="467"/>
      <c r="Y27" s="29"/>
      <c r="Z27" s="19"/>
      <c r="AA27" s="15"/>
      <c r="AB27" s="15"/>
      <c r="AC27" s="172" t="s">
        <v>83</v>
      </c>
      <c r="AD27" s="172"/>
      <c r="AE27" s="172"/>
      <c r="AF27" s="172"/>
      <c r="AG27" s="172"/>
      <c r="AH27" s="172"/>
      <c r="AI27" s="172"/>
      <c r="AJ27" s="172"/>
      <c r="AK27" s="435">
        <f>SUM(AN27:AQ28)+AT27</f>
        <v>15</v>
      </c>
      <c r="AL27" s="435"/>
      <c r="AM27" s="13"/>
      <c r="AN27" s="228">
        <f>IF(D36=0,"",(D36*3)+Таблицы!M23+Таблицы!U23)</f>
        <v>15</v>
      </c>
      <c r="AO27" s="228"/>
      <c r="AP27" s="436"/>
      <c r="AQ27" s="436"/>
      <c r="AR27" s="13"/>
      <c r="AS27" s="13"/>
      <c r="AT27" s="287">
        <f>IF(Таблицы!M23=20,SUM(AX27*2,BB27*2/2,INT(BF27*2/3),INT(BJ27*2/4),INT(BN27*2/5)),SUM(AX27,INT(BB27/2),INT(BF27/3),INT(BJ27/4),INT(BN27/5)))</f>
        <v>0</v>
      </c>
      <c r="AU27" s="287"/>
      <c r="AV27" s="13"/>
      <c r="AW27" s="434"/>
      <c r="AX27" s="413"/>
      <c r="AY27" s="413"/>
      <c r="AZ27" s="13"/>
      <c r="BA27" s="434"/>
      <c r="BB27" s="413"/>
      <c r="BC27" s="413"/>
      <c r="BD27" s="13"/>
      <c r="BE27" s="434"/>
      <c r="BF27" s="413"/>
      <c r="BG27" s="413"/>
      <c r="BH27" s="13"/>
      <c r="BI27" s="434"/>
      <c r="BJ27" s="413"/>
      <c r="BK27" s="413"/>
      <c r="BL27" s="22"/>
      <c r="BM27" s="434"/>
      <c r="BN27" s="413"/>
      <c r="BO27" s="413"/>
      <c r="BP27" s="13"/>
      <c r="BQ27" s="29"/>
      <c r="BR27" s="13"/>
    </row>
    <row r="28" spans="1:70" ht="7.5" customHeight="1">
      <c r="A28" s="16"/>
      <c r="B28" s="486" t="s">
        <v>115</v>
      </c>
      <c r="C28" s="346"/>
      <c r="D28" s="228">
        <f>SUM(K28+N28,IF(OR(Таблицы!F28=20,Таблицы!F29=20),Таблицы!L57,0),IF(OR(Таблицы!F28=17,Таблицы!F29=17),Таблицы!L50,0))</f>
        <v>5</v>
      </c>
      <c r="E28" s="228"/>
      <c r="F28" s="439"/>
      <c r="G28" s="13"/>
      <c r="H28" s="354" t="str">
        <f>INDEX(Таблицы!F2:L11,Таблицы!E1,2)</f>
        <v>1/10</v>
      </c>
      <c r="I28" s="355"/>
      <c r="J28" s="356"/>
      <c r="K28" s="287">
        <f>INDEX(Таблицы!AF2:AL10,Таблицы!E1,2)</f>
        <v>5</v>
      </c>
      <c r="L28" s="287"/>
      <c r="M28" s="287"/>
      <c r="N28" s="227"/>
      <c r="O28" s="227"/>
      <c r="P28" s="227"/>
      <c r="Q28" s="13"/>
      <c r="R28" s="448" t="s">
        <v>271</v>
      </c>
      <c r="S28" s="449"/>
      <c r="T28" s="449"/>
      <c r="U28" s="449"/>
      <c r="V28" s="449"/>
      <c r="W28" s="449"/>
      <c r="X28" s="450"/>
      <c r="Y28" s="29"/>
      <c r="Z28" s="19"/>
      <c r="AA28" s="15"/>
      <c r="AB28" s="15"/>
      <c r="AC28" s="172"/>
      <c r="AD28" s="172"/>
      <c r="AE28" s="172"/>
      <c r="AF28" s="172"/>
      <c r="AG28" s="172"/>
      <c r="AH28" s="172"/>
      <c r="AI28" s="172"/>
      <c r="AJ28" s="172"/>
      <c r="AK28" s="435"/>
      <c r="AL28" s="435"/>
      <c r="AM28" s="13"/>
      <c r="AN28" s="228"/>
      <c r="AO28" s="228"/>
      <c r="AP28" s="436"/>
      <c r="AQ28" s="436"/>
      <c r="AR28" s="13"/>
      <c r="AS28" s="13"/>
      <c r="AT28" s="228"/>
      <c r="AU28" s="228"/>
      <c r="AV28" s="13"/>
      <c r="AW28" s="434"/>
      <c r="AX28" s="413"/>
      <c r="AY28" s="413"/>
      <c r="AZ28" s="13"/>
      <c r="BA28" s="434"/>
      <c r="BB28" s="413"/>
      <c r="BC28" s="413"/>
      <c r="BD28" s="13"/>
      <c r="BE28" s="434"/>
      <c r="BF28" s="413"/>
      <c r="BG28" s="413"/>
      <c r="BH28" s="13"/>
      <c r="BI28" s="434"/>
      <c r="BJ28" s="413"/>
      <c r="BK28" s="413"/>
      <c r="BL28" s="22"/>
      <c r="BM28" s="434"/>
      <c r="BN28" s="413"/>
      <c r="BO28" s="413"/>
      <c r="BP28" s="13"/>
      <c r="BQ28" s="29"/>
      <c r="BR28" s="13"/>
    </row>
    <row r="29" spans="1:70" ht="7.5" customHeight="1" thickBot="1">
      <c r="A29" s="16"/>
      <c r="B29" s="487"/>
      <c r="C29" s="347"/>
      <c r="D29" s="228"/>
      <c r="E29" s="228"/>
      <c r="F29" s="439"/>
      <c r="G29" s="13"/>
      <c r="H29" s="357"/>
      <c r="I29" s="358"/>
      <c r="J29" s="359"/>
      <c r="K29" s="228"/>
      <c r="L29" s="228"/>
      <c r="M29" s="228"/>
      <c r="N29" s="227"/>
      <c r="O29" s="227"/>
      <c r="P29" s="227"/>
      <c r="Q29" s="13"/>
      <c r="R29" s="451"/>
      <c r="S29" s="452"/>
      <c r="T29" s="452"/>
      <c r="U29" s="452"/>
      <c r="V29" s="452"/>
      <c r="W29" s="452"/>
      <c r="X29" s="453"/>
      <c r="Y29" s="29"/>
      <c r="Z29" s="19"/>
      <c r="AA29" s="15"/>
      <c r="AB29" s="15"/>
      <c r="AC29" s="172" t="s">
        <v>84</v>
      </c>
      <c r="AD29" s="172"/>
      <c r="AE29" s="172"/>
      <c r="AF29" s="172"/>
      <c r="AG29" s="172"/>
      <c r="AH29" s="172"/>
      <c r="AI29" s="172"/>
      <c r="AJ29" s="172"/>
      <c r="AK29" s="435">
        <f>SUM(AN29:AQ30)+AT29</f>
        <v>20</v>
      </c>
      <c r="AL29" s="435"/>
      <c r="AM29" s="13"/>
      <c r="AN29" s="228">
        <f>IF(D36=0,"",10+(SUM(D28,D36)+Таблицы!M24+Таблицы!U24))</f>
        <v>20</v>
      </c>
      <c r="AO29" s="228"/>
      <c r="AP29" s="436"/>
      <c r="AQ29" s="436"/>
      <c r="AR29" s="13"/>
      <c r="AS29" s="13"/>
      <c r="AT29" s="287">
        <f>IF(Таблицы!M24=20,SUM(AX29*2,BB29*2/2,INT(BF29*2/3),INT(BJ29*2/4),INT(BN29*2/5)),SUM(AX29,INT(BB29/2),INT(BF29/3),INT(BJ29/4),INT(BN29/5)))</f>
        <v>0</v>
      </c>
      <c r="AU29" s="287"/>
      <c r="AV29" s="13"/>
      <c r="AW29" s="434"/>
      <c r="AX29" s="413"/>
      <c r="AY29" s="413"/>
      <c r="AZ29" s="13"/>
      <c r="BA29" s="434"/>
      <c r="BB29" s="413"/>
      <c r="BC29" s="413"/>
      <c r="BD29" s="13"/>
      <c r="BE29" s="434"/>
      <c r="BF29" s="413"/>
      <c r="BG29" s="413"/>
      <c r="BH29" s="13"/>
      <c r="BI29" s="434"/>
      <c r="BJ29" s="413"/>
      <c r="BK29" s="413"/>
      <c r="BL29" s="22"/>
      <c r="BM29" s="434"/>
      <c r="BN29" s="413"/>
      <c r="BO29" s="413"/>
      <c r="BP29" s="13"/>
      <c r="BQ29" s="29"/>
      <c r="BR29" s="13"/>
    </row>
    <row r="30" spans="1:70" ht="7.5" customHeight="1">
      <c r="A30" s="16"/>
      <c r="B30" s="486" t="s">
        <v>116</v>
      </c>
      <c r="C30" s="346"/>
      <c r="D30" s="228">
        <f>SUM(K30+N30,IF(OR(Таблицы!F28=17,Таблицы!F29=17),Таблицы!L51,0))</f>
        <v>5</v>
      </c>
      <c r="E30" s="228"/>
      <c r="F30" s="439"/>
      <c r="G30" s="13"/>
      <c r="H30" s="354" t="str">
        <f>INDEX(Таблицы!F2:L11,Таблицы!E1,3)</f>
        <v>1/10</v>
      </c>
      <c r="I30" s="355"/>
      <c r="J30" s="356"/>
      <c r="K30" s="287">
        <f>INDEX(Таблицы!AF2:AL10,Таблицы!E1,3)</f>
        <v>5</v>
      </c>
      <c r="L30" s="287"/>
      <c r="M30" s="287"/>
      <c r="N30" s="227"/>
      <c r="O30" s="227"/>
      <c r="P30" s="227"/>
      <c r="Q30" s="13"/>
      <c r="R30" s="254"/>
      <c r="S30" s="254"/>
      <c r="T30" s="254"/>
      <c r="U30" s="254"/>
      <c r="V30" s="254"/>
      <c r="W30" s="254"/>
      <c r="X30" s="254"/>
      <c r="Y30" s="29"/>
      <c r="Z30" s="19"/>
      <c r="AA30" s="15"/>
      <c r="AB30" s="15"/>
      <c r="AC30" s="172"/>
      <c r="AD30" s="172"/>
      <c r="AE30" s="172"/>
      <c r="AF30" s="172"/>
      <c r="AG30" s="172"/>
      <c r="AH30" s="172"/>
      <c r="AI30" s="172"/>
      <c r="AJ30" s="172"/>
      <c r="AK30" s="435"/>
      <c r="AL30" s="435"/>
      <c r="AM30" s="13"/>
      <c r="AN30" s="228"/>
      <c r="AO30" s="228"/>
      <c r="AP30" s="436"/>
      <c r="AQ30" s="436"/>
      <c r="AR30" s="13"/>
      <c r="AS30" s="13"/>
      <c r="AT30" s="228"/>
      <c r="AU30" s="228"/>
      <c r="AV30" s="13"/>
      <c r="AW30" s="434"/>
      <c r="AX30" s="413"/>
      <c r="AY30" s="413"/>
      <c r="AZ30" s="13"/>
      <c r="BA30" s="434"/>
      <c r="BB30" s="413"/>
      <c r="BC30" s="413"/>
      <c r="BD30" s="13"/>
      <c r="BE30" s="434"/>
      <c r="BF30" s="413"/>
      <c r="BG30" s="413"/>
      <c r="BH30" s="13"/>
      <c r="BI30" s="434"/>
      <c r="BJ30" s="413"/>
      <c r="BK30" s="413"/>
      <c r="BL30" s="22"/>
      <c r="BM30" s="434"/>
      <c r="BN30" s="413"/>
      <c r="BO30" s="413"/>
      <c r="BP30" s="13"/>
      <c r="BQ30" s="29"/>
      <c r="BR30" s="13"/>
    </row>
    <row r="31" spans="1:70" ht="7.5" customHeight="1" thickBot="1">
      <c r="A31" s="16"/>
      <c r="B31" s="487"/>
      <c r="C31" s="347"/>
      <c r="D31" s="228"/>
      <c r="E31" s="228"/>
      <c r="F31" s="439"/>
      <c r="G31" s="13"/>
      <c r="H31" s="357"/>
      <c r="I31" s="358"/>
      <c r="J31" s="359"/>
      <c r="K31" s="228"/>
      <c r="L31" s="228"/>
      <c r="M31" s="228"/>
      <c r="N31" s="227"/>
      <c r="O31" s="227"/>
      <c r="P31" s="227"/>
      <c r="Q31" s="13"/>
      <c r="R31" s="468"/>
      <c r="S31" s="468"/>
      <c r="T31" s="468"/>
      <c r="U31" s="468"/>
      <c r="V31" s="468"/>
      <c r="W31" s="468"/>
      <c r="X31" s="468"/>
      <c r="Y31" s="29"/>
      <c r="Z31" s="19"/>
      <c r="AA31" s="15"/>
      <c r="AB31" s="15"/>
      <c r="AC31" s="172" t="s">
        <v>85</v>
      </c>
      <c r="AD31" s="172"/>
      <c r="AE31" s="172"/>
      <c r="AF31" s="172"/>
      <c r="AG31" s="172"/>
      <c r="AH31" s="172"/>
      <c r="AI31" s="172"/>
      <c r="AJ31" s="172"/>
      <c r="AK31" s="435">
        <f>SUM(AN31:AQ32)+AT31</f>
        <v>20</v>
      </c>
      <c r="AL31" s="435"/>
      <c r="AM31" s="13"/>
      <c r="AN31" s="228">
        <f>IF(D36=0,"",(D34*4)+Таблицы!M25+Таблицы!U25)</f>
        <v>20</v>
      </c>
      <c r="AO31" s="228"/>
      <c r="AP31" s="436"/>
      <c r="AQ31" s="436"/>
      <c r="AR31" s="13"/>
      <c r="AS31" s="13"/>
      <c r="AT31" s="287">
        <f>IF(Таблицы!M25=20,SUM(AX31*2,BB31*2/2,INT(BF31*2/3),INT(BJ31*2/4),INT(BN31*2/5)),SUM(AX31,INT(BB31/2),INT(BF31/3),INT(BJ31/4),INT(BN31/5)))</f>
        <v>0</v>
      </c>
      <c r="AU31" s="287"/>
      <c r="AV31" s="13"/>
      <c r="AW31" s="434"/>
      <c r="AX31" s="413"/>
      <c r="AY31" s="413"/>
      <c r="AZ31" s="13"/>
      <c r="BA31" s="434"/>
      <c r="BB31" s="413"/>
      <c r="BC31" s="413"/>
      <c r="BD31" s="13"/>
      <c r="BE31" s="434"/>
      <c r="BF31" s="413"/>
      <c r="BG31" s="413"/>
      <c r="BH31" s="13"/>
      <c r="BI31" s="434"/>
      <c r="BJ31" s="413"/>
      <c r="BK31" s="413"/>
      <c r="BL31" s="22"/>
      <c r="BM31" s="434"/>
      <c r="BN31" s="413"/>
      <c r="BO31" s="413"/>
      <c r="BP31" s="13"/>
      <c r="BQ31" s="29"/>
      <c r="BR31" s="13"/>
    </row>
    <row r="32" spans="1:70" ht="7.5" customHeight="1">
      <c r="A32" s="16"/>
      <c r="B32" s="486" t="s">
        <v>117</v>
      </c>
      <c r="C32" s="346"/>
      <c r="D32" s="228">
        <f>SUM(K32+N32,IF(OR(Таблицы!F28=17,Таблицы!F29=17),Таблицы!L52,0))</f>
        <v>5</v>
      </c>
      <c r="E32" s="228"/>
      <c r="F32" s="439"/>
      <c r="G32" s="13"/>
      <c r="H32" s="354" t="str">
        <f>INDEX(Таблицы!F2:L11,Таблицы!E1,4)</f>
        <v>1/10</v>
      </c>
      <c r="I32" s="355"/>
      <c r="J32" s="356"/>
      <c r="K32" s="287">
        <f>INDEX(Таблицы!AF2:AL10,Таблицы!E1,4)</f>
        <v>5</v>
      </c>
      <c r="L32" s="287"/>
      <c r="M32" s="287"/>
      <c r="N32" s="227"/>
      <c r="O32" s="227"/>
      <c r="P32" s="227"/>
      <c r="Q32" s="13"/>
      <c r="R32" s="448" t="s">
        <v>270</v>
      </c>
      <c r="S32" s="449"/>
      <c r="T32" s="449"/>
      <c r="U32" s="449"/>
      <c r="V32" s="449"/>
      <c r="W32" s="449"/>
      <c r="X32" s="450"/>
      <c r="Y32" s="29"/>
      <c r="Z32" s="19"/>
      <c r="AA32" s="15"/>
      <c r="AB32" s="15"/>
      <c r="AC32" s="172"/>
      <c r="AD32" s="172"/>
      <c r="AE32" s="172"/>
      <c r="AF32" s="172"/>
      <c r="AG32" s="172"/>
      <c r="AH32" s="172"/>
      <c r="AI32" s="172"/>
      <c r="AJ32" s="172"/>
      <c r="AK32" s="435"/>
      <c r="AL32" s="435"/>
      <c r="AM32" s="13"/>
      <c r="AN32" s="228"/>
      <c r="AO32" s="228"/>
      <c r="AP32" s="436"/>
      <c r="AQ32" s="436"/>
      <c r="AR32" s="13"/>
      <c r="AS32" s="13"/>
      <c r="AT32" s="228"/>
      <c r="AU32" s="228"/>
      <c r="AV32" s="13"/>
      <c r="AW32" s="434"/>
      <c r="AX32" s="413"/>
      <c r="AY32" s="413"/>
      <c r="AZ32" s="13"/>
      <c r="BA32" s="434"/>
      <c r="BB32" s="413"/>
      <c r="BC32" s="413"/>
      <c r="BD32" s="13"/>
      <c r="BE32" s="434"/>
      <c r="BF32" s="413"/>
      <c r="BG32" s="413"/>
      <c r="BH32" s="13"/>
      <c r="BI32" s="434"/>
      <c r="BJ32" s="413"/>
      <c r="BK32" s="413"/>
      <c r="BL32" s="22"/>
      <c r="BM32" s="434"/>
      <c r="BN32" s="413"/>
      <c r="BO32" s="413"/>
      <c r="BP32" s="13"/>
      <c r="BQ32" s="29"/>
      <c r="BR32" s="13"/>
    </row>
    <row r="33" spans="1:70" ht="7.5" customHeight="1" thickBot="1">
      <c r="A33" s="16"/>
      <c r="B33" s="487"/>
      <c r="C33" s="347"/>
      <c r="D33" s="228"/>
      <c r="E33" s="228"/>
      <c r="F33" s="439"/>
      <c r="G33" s="13"/>
      <c r="H33" s="357"/>
      <c r="I33" s="358"/>
      <c r="J33" s="359"/>
      <c r="K33" s="228"/>
      <c r="L33" s="228"/>
      <c r="M33" s="228"/>
      <c r="N33" s="227"/>
      <c r="O33" s="227"/>
      <c r="P33" s="227"/>
      <c r="Q33" s="13"/>
      <c r="R33" s="451"/>
      <c r="S33" s="452"/>
      <c r="T33" s="452"/>
      <c r="U33" s="452"/>
      <c r="V33" s="452"/>
      <c r="W33" s="452"/>
      <c r="X33" s="453"/>
      <c r="Y33" s="29"/>
      <c r="Z33" s="19"/>
      <c r="AA33" s="15"/>
      <c r="AB33" s="15"/>
      <c r="AC33" s="172" t="s">
        <v>86</v>
      </c>
      <c r="AD33" s="172"/>
      <c r="AE33" s="172"/>
      <c r="AF33" s="172"/>
      <c r="AG33" s="172"/>
      <c r="AH33" s="172"/>
      <c r="AI33" s="172"/>
      <c r="AJ33" s="172"/>
      <c r="AK33" s="435">
        <f>SUM(AN33:AQ34)+AT33</f>
        <v>15</v>
      </c>
      <c r="AL33" s="435"/>
      <c r="AM33" s="13"/>
      <c r="AN33" s="228">
        <f>IF(D36=0,"",(D34*3)+Таблицы!M26+Таблицы!U26)</f>
        <v>15</v>
      </c>
      <c r="AO33" s="228"/>
      <c r="AP33" s="436"/>
      <c r="AQ33" s="436"/>
      <c r="AR33" s="13"/>
      <c r="AS33" s="13"/>
      <c r="AT33" s="287">
        <f>IF(Таблицы!M26=20,SUM(AX33*2,BB33*2/2,INT(BF33*2/3),INT(BJ33*2/4),INT(BN33*2/5)),SUM(AX33,INT(BB33/2),INT(BF33/3),INT(BJ33/4),INT(BN33/5)))</f>
        <v>0</v>
      </c>
      <c r="AU33" s="287"/>
      <c r="AV33" s="13"/>
      <c r="AW33" s="434"/>
      <c r="AX33" s="413"/>
      <c r="AY33" s="413"/>
      <c r="AZ33" s="13"/>
      <c r="BA33" s="434"/>
      <c r="BB33" s="413"/>
      <c r="BC33" s="413"/>
      <c r="BD33" s="13"/>
      <c r="BE33" s="434"/>
      <c r="BF33" s="413"/>
      <c r="BG33" s="413"/>
      <c r="BH33" s="13"/>
      <c r="BI33" s="434"/>
      <c r="BJ33" s="413"/>
      <c r="BK33" s="413"/>
      <c r="BL33" s="22"/>
      <c r="BM33" s="434"/>
      <c r="BN33" s="413"/>
      <c r="BO33" s="413"/>
      <c r="BP33" s="13"/>
      <c r="BQ33" s="29"/>
      <c r="BR33" s="13"/>
    </row>
    <row r="34" spans="1:70" ht="7.5" customHeight="1">
      <c r="A34" s="16"/>
      <c r="B34" s="486" t="s">
        <v>118</v>
      </c>
      <c r="C34" s="346"/>
      <c r="D34" s="228">
        <f>SUM(K34+N34,IF(OR(Таблицы!F28=24,Таблицы!F29=24),Таблицы!L59,0),IF(OR(Таблицы!F28=17,Таблицы!F29=17),Таблицы!L53,0))</f>
        <v>5</v>
      </c>
      <c r="E34" s="228"/>
      <c r="F34" s="439"/>
      <c r="G34" s="13"/>
      <c r="H34" s="354" t="str">
        <f>INDEX(Таблицы!F2:L11,Таблицы!E1,5)</f>
        <v>1/10</v>
      </c>
      <c r="I34" s="355"/>
      <c r="J34" s="356"/>
      <c r="K34" s="287">
        <f>INDEX(Таблицы!AF2:AL10,Таблицы!E1,5)</f>
        <v>5</v>
      </c>
      <c r="L34" s="287"/>
      <c r="M34" s="287"/>
      <c r="N34" s="227"/>
      <c r="O34" s="227"/>
      <c r="P34" s="227"/>
      <c r="Q34" s="13"/>
      <c r="R34" s="254"/>
      <c r="S34" s="254"/>
      <c r="T34" s="254"/>
      <c r="U34" s="254"/>
      <c r="V34" s="254"/>
      <c r="W34" s="254"/>
      <c r="X34" s="254"/>
      <c r="Y34" s="29"/>
      <c r="Z34" s="19"/>
      <c r="AA34" s="15"/>
      <c r="AB34" s="15"/>
      <c r="AC34" s="172"/>
      <c r="AD34" s="172"/>
      <c r="AE34" s="172"/>
      <c r="AF34" s="172"/>
      <c r="AG34" s="172"/>
      <c r="AH34" s="172"/>
      <c r="AI34" s="172"/>
      <c r="AJ34" s="172"/>
      <c r="AK34" s="435"/>
      <c r="AL34" s="435"/>
      <c r="AM34" s="13"/>
      <c r="AN34" s="228"/>
      <c r="AO34" s="228"/>
      <c r="AP34" s="436"/>
      <c r="AQ34" s="436"/>
      <c r="AR34" s="13"/>
      <c r="AS34" s="13"/>
      <c r="AT34" s="228"/>
      <c r="AU34" s="228"/>
      <c r="AV34" s="13"/>
      <c r="AW34" s="434"/>
      <c r="AX34" s="413"/>
      <c r="AY34" s="413"/>
      <c r="AZ34" s="13"/>
      <c r="BA34" s="434"/>
      <c r="BB34" s="413"/>
      <c r="BC34" s="413"/>
      <c r="BD34" s="13"/>
      <c r="BE34" s="434"/>
      <c r="BF34" s="413"/>
      <c r="BG34" s="413"/>
      <c r="BH34" s="13"/>
      <c r="BI34" s="434"/>
      <c r="BJ34" s="413"/>
      <c r="BK34" s="413"/>
      <c r="BL34" s="22"/>
      <c r="BM34" s="434"/>
      <c r="BN34" s="413"/>
      <c r="BO34" s="413"/>
      <c r="BP34" s="13"/>
      <c r="BQ34" s="29"/>
      <c r="BR34" s="13"/>
    </row>
    <row r="35" spans="1:70" ht="7.5" customHeight="1" thickBot="1">
      <c r="A35" s="16"/>
      <c r="B35" s="487"/>
      <c r="C35" s="347"/>
      <c r="D35" s="228"/>
      <c r="E35" s="228"/>
      <c r="F35" s="439"/>
      <c r="G35" s="13"/>
      <c r="H35" s="357"/>
      <c r="I35" s="358"/>
      <c r="J35" s="359"/>
      <c r="K35" s="228"/>
      <c r="L35" s="228"/>
      <c r="M35" s="228"/>
      <c r="N35" s="227"/>
      <c r="O35" s="227"/>
      <c r="P35" s="227"/>
      <c r="Q35" s="13"/>
      <c r="R35" s="468"/>
      <c r="S35" s="468"/>
      <c r="T35" s="468"/>
      <c r="U35" s="468"/>
      <c r="V35" s="468"/>
      <c r="W35" s="468"/>
      <c r="X35" s="468"/>
      <c r="Y35" s="29"/>
      <c r="Z35" s="19"/>
      <c r="AA35" s="15"/>
      <c r="AB35" s="15"/>
      <c r="AC35" s="172" t="s">
        <v>87</v>
      </c>
      <c r="AD35" s="172"/>
      <c r="AE35" s="172"/>
      <c r="AF35" s="172"/>
      <c r="AG35" s="172"/>
      <c r="AH35" s="172"/>
      <c r="AI35" s="172"/>
      <c r="AJ35" s="172"/>
      <c r="AK35" s="435">
        <f>SUM(AN35:AQ36)+AT35</f>
        <v>20</v>
      </c>
      <c r="AL35" s="435"/>
      <c r="AM35" s="13"/>
      <c r="AN35" s="228">
        <f>IF(D36=0,"",(2*SUM(D28,D36)+Таблицы!M27+Таблицы!U27))</f>
        <v>20</v>
      </c>
      <c r="AO35" s="228"/>
      <c r="AP35" s="436"/>
      <c r="AQ35" s="436"/>
      <c r="AR35" s="13"/>
      <c r="AS35" s="13"/>
      <c r="AT35" s="287">
        <f>IF(Таблицы!M27=20,SUM(AX35*2,BB35*2/2,INT(BF35*2/3),INT(BJ35*2/4),INT(BN35*2/5)),SUM(AX35,INT(BB35/2),INT(BF35/3),INT(BJ35/4),INT(BN35/5)))</f>
        <v>0</v>
      </c>
      <c r="AU35" s="287"/>
      <c r="AV35" s="13"/>
      <c r="AW35" s="434"/>
      <c r="AX35" s="413"/>
      <c r="AY35" s="413"/>
      <c r="AZ35" s="13"/>
      <c r="BA35" s="434"/>
      <c r="BB35" s="413"/>
      <c r="BC35" s="413"/>
      <c r="BD35" s="13"/>
      <c r="BE35" s="434"/>
      <c r="BF35" s="413"/>
      <c r="BG35" s="413"/>
      <c r="BH35" s="13"/>
      <c r="BI35" s="434"/>
      <c r="BJ35" s="413"/>
      <c r="BK35" s="413"/>
      <c r="BL35" s="22"/>
      <c r="BM35" s="434"/>
      <c r="BN35" s="413"/>
      <c r="BO35" s="413"/>
      <c r="BP35" s="13"/>
      <c r="BQ35" s="29"/>
      <c r="BR35" s="13"/>
    </row>
    <row r="36" spans="1:70" ht="7.5" customHeight="1">
      <c r="A36" s="16"/>
      <c r="B36" s="486" t="s">
        <v>119</v>
      </c>
      <c r="C36" s="346"/>
      <c r="D36" s="228">
        <f>SUM(K36+N36,IF(OR(Таблицы!F28=4,Таблицы!F29=4),Таблицы!L40,0),IF(OR(Таблицы!F28=17,Таблицы!F29=17),Таблицы!L54,0))</f>
        <v>5</v>
      </c>
      <c r="E36" s="228"/>
      <c r="F36" s="439"/>
      <c r="G36" s="13"/>
      <c r="H36" s="354" t="str">
        <f>INDEX(Таблицы!F2:L11,Таблицы!E1,6)</f>
        <v>1/10</v>
      </c>
      <c r="I36" s="355"/>
      <c r="J36" s="356"/>
      <c r="K36" s="287">
        <f>INDEX(Таблицы!AF2:AL10,Таблицы!E1,6)</f>
        <v>5</v>
      </c>
      <c r="L36" s="287"/>
      <c r="M36" s="287"/>
      <c r="N36" s="342"/>
      <c r="O36" s="437"/>
      <c r="P36" s="343"/>
      <c r="Q36" s="13"/>
      <c r="R36" s="448" t="s">
        <v>273</v>
      </c>
      <c r="S36" s="449"/>
      <c r="T36" s="449"/>
      <c r="U36" s="449"/>
      <c r="V36" s="449"/>
      <c r="W36" s="449"/>
      <c r="X36" s="450"/>
      <c r="Y36" s="29"/>
      <c r="Z36" s="19"/>
      <c r="AA36" s="15"/>
      <c r="AB36" s="15"/>
      <c r="AC36" s="172"/>
      <c r="AD36" s="172"/>
      <c r="AE36" s="172"/>
      <c r="AF36" s="172"/>
      <c r="AG36" s="172"/>
      <c r="AH36" s="172"/>
      <c r="AI36" s="172"/>
      <c r="AJ36" s="172"/>
      <c r="AK36" s="435"/>
      <c r="AL36" s="435"/>
      <c r="AM36" s="13"/>
      <c r="AN36" s="228"/>
      <c r="AO36" s="228"/>
      <c r="AP36" s="436"/>
      <c r="AQ36" s="436"/>
      <c r="AR36" s="13"/>
      <c r="AS36" s="13"/>
      <c r="AT36" s="228"/>
      <c r="AU36" s="228"/>
      <c r="AV36" s="13"/>
      <c r="AW36" s="434"/>
      <c r="AX36" s="413"/>
      <c r="AY36" s="413"/>
      <c r="AZ36" s="13"/>
      <c r="BA36" s="434"/>
      <c r="BB36" s="413"/>
      <c r="BC36" s="413"/>
      <c r="BD36" s="13"/>
      <c r="BE36" s="434"/>
      <c r="BF36" s="413"/>
      <c r="BG36" s="413"/>
      <c r="BH36" s="13"/>
      <c r="BI36" s="434"/>
      <c r="BJ36" s="413"/>
      <c r="BK36" s="413"/>
      <c r="BL36" s="22"/>
      <c r="BM36" s="434"/>
      <c r="BN36" s="413"/>
      <c r="BO36" s="413"/>
      <c r="BP36" s="13"/>
      <c r="BQ36" s="29"/>
      <c r="BR36" s="13"/>
    </row>
    <row r="37" spans="1:70" ht="7.5" customHeight="1" thickBot="1">
      <c r="A37" s="16"/>
      <c r="B37" s="487"/>
      <c r="C37" s="347"/>
      <c r="D37" s="228"/>
      <c r="E37" s="228"/>
      <c r="F37" s="439"/>
      <c r="G37" s="13"/>
      <c r="H37" s="357"/>
      <c r="I37" s="358"/>
      <c r="J37" s="359"/>
      <c r="K37" s="228"/>
      <c r="L37" s="228"/>
      <c r="M37" s="228"/>
      <c r="N37" s="344"/>
      <c r="O37" s="438"/>
      <c r="P37" s="345"/>
      <c r="Q37" s="13"/>
      <c r="R37" s="451"/>
      <c r="S37" s="452"/>
      <c r="T37" s="452"/>
      <c r="U37" s="452"/>
      <c r="V37" s="452"/>
      <c r="W37" s="452"/>
      <c r="X37" s="453"/>
      <c r="Y37" s="29"/>
      <c r="Z37" s="19"/>
      <c r="AA37" s="15"/>
      <c r="AB37" s="15"/>
      <c r="AC37" s="172" t="s">
        <v>88</v>
      </c>
      <c r="AD37" s="172"/>
      <c r="AE37" s="172"/>
      <c r="AF37" s="172"/>
      <c r="AG37" s="172"/>
      <c r="AH37" s="172"/>
      <c r="AI37" s="172"/>
      <c r="AJ37" s="172"/>
      <c r="AK37" s="435">
        <f>SUM(AN37:AQ38)+AT37</f>
        <v>25</v>
      </c>
      <c r="AL37" s="435"/>
      <c r="AM37" s="13"/>
      <c r="AN37" s="228">
        <f>IF(D36=0,"",(D32*5)+Таблицы!M28+Таблицы!U28)</f>
        <v>25</v>
      </c>
      <c r="AO37" s="228"/>
      <c r="AP37" s="436"/>
      <c r="AQ37" s="436"/>
      <c r="AR37" s="13"/>
      <c r="AS37" s="13"/>
      <c r="AT37" s="287">
        <f>IF(Таблицы!M28=20,SUM(AX37*2,BB37*2/2,INT(BF37*2/3),INT(BJ37*2/4),INT(BN37*2/5)),SUM(AX37,INT(BB37/2),INT(BF37/3),INT(BJ37/4),INT(BN37/5)))</f>
        <v>0</v>
      </c>
      <c r="AU37" s="287"/>
      <c r="AV37" s="13"/>
      <c r="AW37" s="434"/>
      <c r="AX37" s="413"/>
      <c r="AY37" s="413"/>
      <c r="AZ37" s="13"/>
      <c r="BA37" s="434"/>
      <c r="BB37" s="413"/>
      <c r="BC37" s="413"/>
      <c r="BD37" s="13"/>
      <c r="BE37" s="434"/>
      <c r="BF37" s="413"/>
      <c r="BG37" s="413"/>
      <c r="BH37" s="13"/>
      <c r="BI37" s="434"/>
      <c r="BJ37" s="413"/>
      <c r="BK37" s="413"/>
      <c r="BL37" s="22"/>
      <c r="BM37" s="434"/>
      <c r="BN37" s="413"/>
      <c r="BO37" s="413"/>
      <c r="BP37" s="13"/>
      <c r="BQ37" s="29"/>
      <c r="BR37" s="13"/>
    </row>
    <row r="38" spans="1:70" ht="7.5" customHeight="1">
      <c r="A38" s="19"/>
      <c r="B38" s="462" t="s">
        <v>120</v>
      </c>
      <c r="C38" s="172"/>
      <c r="D38" s="228">
        <f>SUM(K38+N38,IF(OR(Таблицы!F28=17,Таблицы!F29=17),Таблицы!L55,0))</f>
        <v>5</v>
      </c>
      <c r="E38" s="228"/>
      <c r="F38" s="439"/>
      <c r="G38" s="13"/>
      <c r="H38" s="354" t="str">
        <f>INDEX(Таблицы!F2:L11,Таблицы!E1,7)</f>
        <v>1/10</v>
      </c>
      <c r="I38" s="355"/>
      <c r="J38" s="356"/>
      <c r="K38" s="287">
        <f>INDEX(Таблицы!AF2:AL10,Таблицы!E1,7)</f>
        <v>5</v>
      </c>
      <c r="L38" s="287"/>
      <c r="M38" s="287"/>
      <c r="N38" s="227"/>
      <c r="O38" s="227"/>
      <c r="P38" s="227"/>
      <c r="Q38" s="13"/>
      <c r="R38" s="469"/>
      <c r="S38" s="469"/>
      <c r="T38" s="469"/>
      <c r="U38" s="469"/>
      <c r="V38" s="469"/>
      <c r="W38" s="469"/>
      <c r="X38" s="469"/>
      <c r="Y38" s="29"/>
      <c r="Z38" s="19"/>
      <c r="AA38" s="15"/>
      <c r="AB38" s="15"/>
      <c r="AC38" s="172"/>
      <c r="AD38" s="172"/>
      <c r="AE38" s="172"/>
      <c r="AF38" s="172"/>
      <c r="AG38" s="172"/>
      <c r="AH38" s="172"/>
      <c r="AI38" s="172"/>
      <c r="AJ38" s="172"/>
      <c r="AK38" s="435"/>
      <c r="AL38" s="435"/>
      <c r="AM38" s="13"/>
      <c r="AN38" s="228"/>
      <c r="AO38" s="228"/>
      <c r="AP38" s="436"/>
      <c r="AQ38" s="436"/>
      <c r="AR38" s="13"/>
      <c r="AS38" s="13"/>
      <c r="AT38" s="228"/>
      <c r="AU38" s="228"/>
      <c r="AV38" s="13"/>
      <c r="AW38" s="434"/>
      <c r="AX38" s="413"/>
      <c r="AY38" s="413"/>
      <c r="AZ38" s="13"/>
      <c r="BA38" s="434"/>
      <c r="BB38" s="413"/>
      <c r="BC38" s="413"/>
      <c r="BD38" s="13"/>
      <c r="BE38" s="434"/>
      <c r="BF38" s="413"/>
      <c r="BG38" s="413"/>
      <c r="BH38" s="13"/>
      <c r="BI38" s="434"/>
      <c r="BJ38" s="413"/>
      <c r="BK38" s="413"/>
      <c r="BL38" s="22"/>
      <c r="BM38" s="434"/>
      <c r="BN38" s="413"/>
      <c r="BO38" s="413"/>
      <c r="BP38" s="13"/>
      <c r="BQ38" s="29"/>
      <c r="BR38" s="13"/>
    </row>
    <row r="39" spans="1:70" ht="7.5" customHeight="1" thickBot="1">
      <c r="A39" s="16"/>
      <c r="B39" s="463"/>
      <c r="C39" s="464"/>
      <c r="D39" s="440"/>
      <c r="E39" s="440"/>
      <c r="F39" s="441"/>
      <c r="G39" s="13"/>
      <c r="H39" s="357"/>
      <c r="I39" s="358"/>
      <c r="J39" s="359"/>
      <c r="K39" s="228"/>
      <c r="L39" s="228"/>
      <c r="M39" s="228"/>
      <c r="N39" s="227"/>
      <c r="O39" s="227"/>
      <c r="P39" s="227"/>
      <c r="Q39" s="13"/>
      <c r="R39" s="470"/>
      <c r="S39" s="470"/>
      <c r="T39" s="470"/>
      <c r="U39" s="470"/>
      <c r="V39" s="470"/>
      <c r="W39" s="470"/>
      <c r="X39" s="470"/>
      <c r="Y39" s="29"/>
      <c r="Z39" s="19"/>
      <c r="AA39" s="15"/>
      <c r="AB39" s="15"/>
      <c r="AC39" s="172" t="s">
        <v>89</v>
      </c>
      <c r="AD39" s="172"/>
      <c r="AE39" s="172"/>
      <c r="AF39" s="172"/>
      <c r="AG39" s="172"/>
      <c r="AH39" s="172"/>
      <c r="AI39" s="172"/>
      <c r="AJ39" s="172"/>
      <c r="AK39" s="435">
        <f>SUM(AN39:AQ40)+AT39</f>
        <v>20</v>
      </c>
      <c r="AL39" s="435"/>
      <c r="AM39" s="13"/>
      <c r="AN39" s="228">
        <f>IF(D36=0,"",(D32*4)+Таблицы!M29+Таблицы!U29)</f>
        <v>20</v>
      </c>
      <c r="AO39" s="228"/>
      <c r="AP39" s="436"/>
      <c r="AQ39" s="436"/>
      <c r="AR39" s="13"/>
      <c r="AS39" s="13"/>
      <c r="AT39" s="287">
        <f>IF(Таблицы!M29=20,SUM(AX39*2,BB39*2/2,INT(BF39*2/3),INT(BJ39*2/4),INT(BN39*2/5)),SUM(AX39,INT(BB39/2),INT(BF39/3),INT(BJ39/4),INT(BN39/5)))</f>
        <v>0</v>
      </c>
      <c r="AU39" s="287"/>
      <c r="AV39" s="13"/>
      <c r="AW39" s="434"/>
      <c r="AX39" s="413"/>
      <c r="AY39" s="413"/>
      <c r="AZ39" s="13"/>
      <c r="BA39" s="434"/>
      <c r="BB39" s="413"/>
      <c r="BC39" s="413"/>
      <c r="BD39" s="13"/>
      <c r="BE39" s="434"/>
      <c r="BF39" s="413"/>
      <c r="BG39" s="413"/>
      <c r="BH39" s="13"/>
      <c r="BI39" s="434"/>
      <c r="BJ39" s="413"/>
      <c r="BK39" s="413"/>
      <c r="BL39" s="22"/>
      <c r="BM39" s="434"/>
      <c r="BN39" s="413"/>
      <c r="BO39" s="413"/>
      <c r="BP39" s="13"/>
      <c r="BQ39" s="29"/>
      <c r="BR39" s="13"/>
    </row>
    <row r="40" spans="1:70" ht="7.5" customHeight="1">
      <c r="A40" s="65"/>
      <c r="B40" s="67"/>
      <c r="C40" s="67"/>
      <c r="D40" s="46"/>
      <c r="E40" s="46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63"/>
      <c r="X40" s="63"/>
      <c r="Y40" s="66"/>
      <c r="Z40" s="19"/>
      <c r="AA40" s="15"/>
      <c r="AB40" s="15"/>
      <c r="AC40" s="172"/>
      <c r="AD40" s="172"/>
      <c r="AE40" s="172"/>
      <c r="AF40" s="172"/>
      <c r="AG40" s="172"/>
      <c r="AH40" s="172"/>
      <c r="AI40" s="172"/>
      <c r="AJ40" s="172"/>
      <c r="AK40" s="435"/>
      <c r="AL40" s="435"/>
      <c r="AM40" s="13"/>
      <c r="AN40" s="228"/>
      <c r="AO40" s="228"/>
      <c r="AP40" s="436"/>
      <c r="AQ40" s="436"/>
      <c r="AR40" s="13"/>
      <c r="AS40" s="13"/>
      <c r="AT40" s="228"/>
      <c r="AU40" s="228"/>
      <c r="AV40" s="13"/>
      <c r="AW40" s="434"/>
      <c r="AX40" s="413"/>
      <c r="AY40" s="413"/>
      <c r="AZ40" s="13"/>
      <c r="BA40" s="434"/>
      <c r="BB40" s="413"/>
      <c r="BC40" s="413"/>
      <c r="BD40" s="13"/>
      <c r="BE40" s="434"/>
      <c r="BF40" s="413"/>
      <c r="BG40" s="413"/>
      <c r="BH40" s="13"/>
      <c r="BI40" s="434"/>
      <c r="BJ40" s="413"/>
      <c r="BK40" s="413"/>
      <c r="BL40" s="13"/>
      <c r="BM40" s="434"/>
      <c r="BN40" s="413"/>
      <c r="BO40" s="413"/>
      <c r="BP40" s="13"/>
      <c r="BQ40" s="29"/>
      <c r="BR40" s="13"/>
    </row>
    <row r="41" spans="1:70" ht="7.5" customHeight="1" thickBot="1">
      <c r="A41" s="19"/>
      <c r="B41" s="7"/>
      <c r="C41" s="7"/>
      <c r="D41" s="13"/>
      <c r="E41" s="13"/>
      <c r="F41" s="3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4"/>
      <c r="X41" s="4"/>
      <c r="Y41" s="29"/>
      <c r="Z41" s="19"/>
      <c r="AA41" s="15"/>
      <c r="AB41" s="15"/>
      <c r="AC41" s="172" t="s">
        <v>90</v>
      </c>
      <c r="AD41" s="172"/>
      <c r="AE41" s="172"/>
      <c r="AF41" s="172"/>
      <c r="AG41" s="172"/>
      <c r="AH41" s="172"/>
      <c r="AI41" s="172"/>
      <c r="AJ41" s="172"/>
      <c r="AK41" s="435">
        <f>SUM(AN41:AQ42)+AT41</f>
        <v>25</v>
      </c>
      <c r="AL41" s="435"/>
      <c r="AM41" s="13"/>
      <c r="AN41" s="228">
        <f>IF(D36=0,"",(D38*5)+Таблицы!M30+Таблицы!U30)</f>
        <v>25</v>
      </c>
      <c r="AO41" s="228"/>
      <c r="AP41" s="436"/>
      <c r="AQ41" s="436"/>
      <c r="AR41" s="13"/>
      <c r="AS41" s="13"/>
      <c r="AT41" s="287">
        <f>IF(Таблицы!M30=20,SUM(AX41*2,BB41*2/2,INT(BF41*2/3),INT(BJ41*2/4),INT(BN41*2/5)),SUM(AX41,INT(BB41/2),INT(BF41/3),INT(BJ41/4),INT(BN41/5)))</f>
        <v>0</v>
      </c>
      <c r="AU41" s="287"/>
      <c r="AV41" s="13"/>
      <c r="AW41" s="434"/>
      <c r="AX41" s="413"/>
      <c r="AY41" s="413"/>
      <c r="AZ41" s="13"/>
      <c r="BA41" s="434"/>
      <c r="BB41" s="413"/>
      <c r="BC41" s="413"/>
      <c r="BD41" s="13"/>
      <c r="BE41" s="434"/>
      <c r="BF41" s="413"/>
      <c r="BG41" s="413"/>
      <c r="BH41" s="13"/>
      <c r="BI41" s="434"/>
      <c r="BJ41" s="413"/>
      <c r="BK41" s="413"/>
      <c r="BL41" s="13"/>
      <c r="BM41" s="434"/>
      <c r="BN41" s="413"/>
      <c r="BO41" s="413"/>
      <c r="BP41" s="13"/>
      <c r="BQ41" s="29"/>
      <c r="BR41" s="13"/>
    </row>
    <row r="42" spans="1:70" ht="7.5" customHeight="1">
      <c r="A42" s="19"/>
      <c r="B42" s="423" t="s">
        <v>257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 t="s">
        <v>222</v>
      </c>
      <c r="P42" s="424"/>
      <c r="Q42" s="425"/>
      <c r="R42" s="13"/>
      <c r="S42" s="454" t="s">
        <v>74</v>
      </c>
      <c r="T42" s="455"/>
      <c r="U42" s="455"/>
      <c r="V42" s="458" t="s">
        <v>8</v>
      </c>
      <c r="W42" s="458"/>
      <c r="X42" s="459"/>
      <c r="Y42" s="29"/>
      <c r="Z42" s="19"/>
      <c r="AA42" s="15"/>
      <c r="AB42" s="15"/>
      <c r="AC42" s="172"/>
      <c r="AD42" s="172"/>
      <c r="AE42" s="172"/>
      <c r="AF42" s="172"/>
      <c r="AG42" s="172"/>
      <c r="AH42" s="172"/>
      <c r="AI42" s="172"/>
      <c r="AJ42" s="172"/>
      <c r="AK42" s="435"/>
      <c r="AL42" s="435"/>
      <c r="AM42" s="13"/>
      <c r="AN42" s="228"/>
      <c r="AO42" s="228"/>
      <c r="AP42" s="436"/>
      <c r="AQ42" s="436"/>
      <c r="AR42" s="13"/>
      <c r="AS42" s="13"/>
      <c r="AT42" s="228"/>
      <c r="AU42" s="228"/>
      <c r="AV42" s="13"/>
      <c r="AW42" s="434"/>
      <c r="AX42" s="413"/>
      <c r="AY42" s="413"/>
      <c r="AZ42" s="13"/>
      <c r="BA42" s="434"/>
      <c r="BB42" s="413"/>
      <c r="BC42" s="413"/>
      <c r="BD42" s="13"/>
      <c r="BE42" s="434"/>
      <c r="BF42" s="413"/>
      <c r="BG42" s="413"/>
      <c r="BH42" s="13"/>
      <c r="BI42" s="434"/>
      <c r="BJ42" s="413"/>
      <c r="BK42" s="413"/>
      <c r="BL42" s="13"/>
      <c r="BM42" s="434"/>
      <c r="BN42" s="413"/>
      <c r="BO42" s="413"/>
      <c r="BP42" s="13"/>
      <c r="BQ42" s="29"/>
      <c r="BR42" s="13"/>
    </row>
    <row r="43" spans="1:70" ht="7.5" customHeight="1" thickBot="1">
      <c r="A43" s="16"/>
      <c r="B43" s="426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8"/>
      <c r="R43" s="13"/>
      <c r="S43" s="456"/>
      <c r="T43" s="457"/>
      <c r="U43" s="457"/>
      <c r="V43" s="460"/>
      <c r="W43" s="460"/>
      <c r="X43" s="461"/>
      <c r="Y43" s="29"/>
      <c r="Z43" s="19"/>
      <c r="AA43" s="15"/>
      <c r="AB43" s="15"/>
      <c r="AC43" s="172" t="s">
        <v>91</v>
      </c>
      <c r="AD43" s="172"/>
      <c r="AE43" s="172"/>
      <c r="AF43" s="172"/>
      <c r="AG43" s="172"/>
      <c r="AH43" s="172"/>
      <c r="AI43" s="172"/>
      <c r="AJ43" s="172"/>
      <c r="AK43" s="435">
        <f>SUM(AN43:AQ44)+AT43</f>
        <v>20</v>
      </c>
      <c r="AL43" s="435"/>
      <c r="AM43" s="13"/>
      <c r="AN43" s="228">
        <f>IF(D36=0,"",(2*SUM(D34,D30)+Таблицы!M31+Таблицы!U31))</f>
        <v>20</v>
      </c>
      <c r="AO43" s="228"/>
      <c r="AP43" s="436"/>
      <c r="AQ43" s="436"/>
      <c r="AR43" s="13"/>
      <c r="AS43" s="13"/>
      <c r="AT43" s="287">
        <f>IF(Таблицы!M31=20,SUM(AX43*2,BB43*2/2,INT(BF43*2/3),INT(BJ43*2/4),INT(BN43*2/5)),SUM(AX43,INT(BB43/2),INT(BF43/3),INT(BJ43/4),INT(BN43/5)))</f>
        <v>0</v>
      </c>
      <c r="AU43" s="287"/>
      <c r="AV43" s="13"/>
      <c r="AW43" s="434"/>
      <c r="AX43" s="413"/>
      <c r="AY43" s="413"/>
      <c r="AZ43" s="13"/>
      <c r="BA43" s="434"/>
      <c r="BB43" s="413"/>
      <c r="BC43" s="413"/>
      <c r="BD43" s="13"/>
      <c r="BE43" s="434"/>
      <c r="BF43" s="413"/>
      <c r="BG43" s="413"/>
      <c r="BH43" s="13"/>
      <c r="BI43" s="434"/>
      <c r="BJ43" s="413"/>
      <c r="BK43" s="413"/>
      <c r="BL43" s="13"/>
      <c r="BM43" s="434"/>
      <c r="BN43" s="413"/>
      <c r="BO43" s="413"/>
      <c r="BP43" s="13"/>
      <c r="BQ43" s="29"/>
      <c r="BR43" s="13"/>
    </row>
    <row r="44" spans="1:70" ht="7.5" customHeight="1">
      <c r="A44" s="19"/>
      <c r="B44" s="336" t="s">
        <v>72</v>
      </c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287">
        <f>SUM(S44:X45)</f>
        <v>30</v>
      </c>
      <c r="P44" s="287"/>
      <c r="Q44" s="465"/>
      <c r="R44" s="13"/>
      <c r="S44" s="472">
        <f>15+(D26+(2*D30))+G20*(B16-1)+INDEX(Таблицы!T2:T10,Таблицы!E1,1)</f>
        <v>30</v>
      </c>
      <c r="T44" s="472"/>
      <c r="U44" s="472"/>
      <c r="V44" s="254"/>
      <c r="W44" s="254"/>
      <c r="X44" s="254"/>
      <c r="Y44" s="29"/>
      <c r="Z44" s="19"/>
      <c r="AA44" s="15"/>
      <c r="AB44" s="8"/>
      <c r="AC44" s="172"/>
      <c r="AD44" s="172"/>
      <c r="AE44" s="172"/>
      <c r="AF44" s="172"/>
      <c r="AG44" s="172"/>
      <c r="AH44" s="172"/>
      <c r="AI44" s="172"/>
      <c r="AJ44" s="172"/>
      <c r="AK44" s="435"/>
      <c r="AL44" s="435"/>
      <c r="AM44" s="13"/>
      <c r="AN44" s="228"/>
      <c r="AO44" s="228"/>
      <c r="AP44" s="436"/>
      <c r="AQ44" s="436"/>
      <c r="AR44" s="15"/>
      <c r="AS44" s="13"/>
      <c r="AT44" s="228"/>
      <c r="AU44" s="228"/>
      <c r="AV44" s="13"/>
      <c r="AW44" s="434"/>
      <c r="AX44" s="413"/>
      <c r="AY44" s="413"/>
      <c r="AZ44" s="13"/>
      <c r="BA44" s="434"/>
      <c r="BB44" s="413"/>
      <c r="BC44" s="413"/>
      <c r="BD44" s="13"/>
      <c r="BE44" s="434"/>
      <c r="BF44" s="413"/>
      <c r="BG44" s="413"/>
      <c r="BH44" s="13"/>
      <c r="BI44" s="434"/>
      <c r="BJ44" s="413"/>
      <c r="BK44" s="413"/>
      <c r="BL44" s="13"/>
      <c r="BM44" s="434"/>
      <c r="BN44" s="413"/>
      <c r="BO44" s="413"/>
      <c r="BP44" s="13"/>
      <c r="BQ44" s="29"/>
      <c r="BR44" s="13"/>
    </row>
    <row r="45" spans="1:81" ht="7.5" customHeight="1">
      <c r="A45" s="16"/>
      <c r="B45" s="408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228"/>
      <c r="P45" s="228"/>
      <c r="Q45" s="439"/>
      <c r="R45" s="13"/>
      <c r="S45" s="473"/>
      <c r="T45" s="473"/>
      <c r="U45" s="473"/>
      <c r="V45" s="227"/>
      <c r="W45" s="227"/>
      <c r="X45" s="227"/>
      <c r="Y45" s="29"/>
      <c r="Z45" s="65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66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</row>
    <row r="46" spans="1:70" ht="7.5" customHeight="1" thickBot="1">
      <c r="A46" s="19"/>
      <c r="B46" s="408" t="s">
        <v>259</v>
      </c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228">
        <f>SUM(S46:X47)</f>
        <v>150</v>
      </c>
      <c r="P46" s="228"/>
      <c r="Q46" s="439"/>
      <c r="R46" s="13"/>
      <c r="S46" s="471">
        <f>IF(OR(Таблицы!F28=4,Таблицы!F29=4),D26*15,25+(D26*25))</f>
        <v>150</v>
      </c>
      <c r="T46" s="471"/>
      <c r="U46" s="471"/>
      <c r="V46" s="227"/>
      <c r="W46" s="227"/>
      <c r="X46" s="227"/>
      <c r="Y46" s="29"/>
      <c r="Z46" s="19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5"/>
      <c r="AX46" s="15"/>
      <c r="AY46" s="15"/>
      <c r="AZ46" s="15"/>
      <c r="BA46" s="15"/>
      <c r="BB46" s="15"/>
      <c r="BC46" s="15"/>
      <c r="BD46" s="15"/>
      <c r="BE46" s="13"/>
      <c r="BF46" s="13"/>
      <c r="BG46" s="13"/>
      <c r="BH46" s="15"/>
      <c r="BI46" s="15"/>
      <c r="BJ46" s="13"/>
      <c r="BK46" s="13"/>
      <c r="BL46" s="13"/>
      <c r="BM46" s="13"/>
      <c r="BN46" s="13"/>
      <c r="BO46" s="13"/>
      <c r="BP46" s="13"/>
      <c r="BQ46" s="29"/>
      <c r="BR46" s="13"/>
    </row>
    <row r="47" spans="1:70" ht="7.5" customHeight="1">
      <c r="A47" s="16"/>
      <c r="B47" s="408"/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228"/>
      <c r="P47" s="228"/>
      <c r="Q47" s="439"/>
      <c r="R47" s="13"/>
      <c r="S47" s="471"/>
      <c r="T47" s="471"/>
      <c r="U47" s="471"/>
      <c r="V47" s="227"/>
      <c r="W47" s="227"/>
      <c r="X47" s="227"/>
      <c r="Y47" s="29"/>
      <c r="Z47" s="19"/>
      <c r="AA47" s="13"/>
      <c r="AH47" s="176" t="s">
        <v>96</v>
      </c>
      <c r="AI47" s="177"/>
      <c r="AJ47" s="177"/>
      <c r="AK47" s="177"/>
      <c r="AL47" s="177"/>
      <c r="AM47" s="177"/>
      <c r="AN47" s="177"/>
      <c r="AO47" s="177"/>
      <c r="AP47" s="177"/>
      <c r="AQ47" s="177"/>
      <c r="AR47" s="178"/>
      <c r="AS47" s="23"/>
      <c r="AT47" s="402" t="s">
        <v>102</v>
      </c>
      <c r="AU47" s="263"/>
      <c r="AV47" s="263"/>
      <c r="AW47" s="263"/>
      <c r="AX47" s="263"/>
      <c r="AY47" s="263"/>
      <c r="AZ47" s="263"/>
      <c r="BA47" s="263"/>
      <c r="BB47" s="262" t="s">
        <v>276</v>
      </c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4"/>
      <c r="BP47" s="13"/>
      <c r="BQ47" s="29"/>
      <c r="BR47" s="13"/>
    </row>
    <row r="48" spans="1:70" ht="7.5" customHeight="1">
      <c r="A48" s="19"/>
      <c r="B48" s="408" t="s">
        <v>260</v>
      </c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228">
        <f>SUM(S48:X49)</f>
        <v>7</v>
      </c>
      <c r="P48" s="228"/>
      <c r="Q48" s="439"/>
      <c r="R48" s="13"/>
      <c r="S48" s="471">
        <f>IF(K26="","",SUM(ROUNDDOWN(5+(D36/2),0),IF(OR(Таблицы!F28=3,Таблицы!F29=3),Таблицы!L39,0)))</f>
        <v>7</v>
      </c>
      <c r="T48" s="471"/>
      <c r="U48" s="471"/>
      <c r="V48" s="227"/>
      <c r="W48" s="227"/>
      <c r="X48" s="227"/>
      <c r="Y48" s="29"/>
      <c r="Z48" s="19"/>
      <c r="AA48" s="4"/>
      <c r="AH48" s="179"/>
      <c r="AI48" s="180"/>
      <c r="AJ48" s="180"/>
      <c r="AK48" s="180"/>
      <c r="AL48" s="180"/>
      <c r="AM48" s="180"/>
      <c r="AN48" s="180"/>
      <c r="AO48" s="180"/>
      <c r="AP48" s="180"/>
      <c r="AQ48" s="180"/>
      <c r="AR48" s="181"/>
      <c r="AS48" s="23"/>
      <c r="AT48" s="403"/>
      <c r="AU48" s="266"/>
      <c r="AV48" s="266"/>
      <c r="AW48" s="266"/>
      <c r="AX48" s="266"/>
      <c r="AY48" s="266"/>
      <c r="AZ48" s="266"/>
      <c r="BA48" s="266"/>
      <c r="BB48" s="265"/>
      <c r="BC48" s="266"/>
      <c r="BD48" s="266"/>
      <c r="BE48" s="266"/>
      <c r="BF48" s="266"/>
      <c r="BG48" s="266"/>
      <c r="BH48" s="266"/>
      <c r="BI48" s="266"/>
      <c r="BJ48" s="266"/>
      <c r="BK48" s="266"/>
      <c r="BL48" s="266"/>
      <c r="BM48" s="266"/>
      <c r="BN48" s="266"/>
      <c r="BO48" s="267"/>
      <c r="BP48" s="13"/>
      <c r="BQ48" s="29"/>
      <c r="BR48" s="13"/>
    </row>
    <row r="49" spans="1:70" ht="7.5" customHeight="1" thickBot="1">
      <c r="A49" s="24"/>
      <c r="B49" s="40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228"/>
      <c r="P49" s="228"/>
      <c r="Q49" s="439"/>
      <c r="R49" s="13"/>
      <c r="S49" s="471"/>
      <c r="T49" s="471"/>
      <c r="U49" s="471"/>
      <c r="V49" s="227"/>
      <c r="W49" s="227"/>
      <c r="X49" s="227"/>
      <c r="Y49" s="29"/>
      <c r="Z49" s="3"/>
      <c r="AA49" s="4"/>
      <c r="AH49" s="173"/>
      <c r="AI49" s="174"/>
      <c r="AJ49" s="174"/>
      <c r="AK49" s="174"/>
      <c r="AL49" s="174"/>
      <c r="AM49" s="174"/>
      <c r="AN49" s="174"/>
      <c r="AO49" s="174"/>
      <c r="AP49" s="174"/>
      <c r="AQ49" s="174"/>
      <c r="AR49" s="175"/>
      <c r="AS49" s="13"/>
      <c r="AT49" s="404"/>
      <c r="AU49" s="269"/>
      <c r="AV49" s="269"/>
      <c r="AW49" s="269"/>
      <c r="AX49" s="269"/>
      <c r="AY49" s="269"/>
      <c r="AZ49" s="269"/>
      <c r="BA49" s="269"/>
      <c r="BB49" s="268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70"/>
      <c r="BP49" s="13"/>
      <c r="BQ49" s="29"/>
      <c r="BR49" s="13"/>
    </row>
    <row r="50" spans="1:70" ht="7.5" customHeight="1">
      <c r="A50" s="24"/>
      <c r="B50" s="408" t="s">
        <v>261</v>
      </c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228">
        <f>SUM(S50:X51)</f>
        <v>10</v>
      </c>
      <c r="P50" s="228"/>
      <c r="Q50" s="439"/>
      <c r="R50" s="13"/>
      <c r="S50" s="471">
        <f>IF(OR(Таблицы!F28=7,Таблицы!F29=7),SUM(2*D28,Таблицы!L44),2*D28)</f>
        <v>10</v>
      </c>
      <c r="T50" s="471"/>
      <c r="U50" s="471"/>
      <c r="V50" s="227"/>
      <c r="W50" s="227"/>
      <c r="X50" s="227"/>
      <c r="Y50" s="29"/>
      <c r="Z50" s="19"/>
      <c r="AA50" s="13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13"/>
      <c r="AT50" s="405"/>
      <c r="AU50" s="405"/>
      <c r="AV50" s="405"/>
      <c r="AW50" s="405"/>
      <c r="AX50" s="405"/>
      <c r="AY50" s="405"/>
      <c r="AZ50" s="405"/>
      <c r="BA50" s="405"/>
      <c r="BB50" s="271"/>
      <c r="BC50" s="271"/>
      <c r="BD50" s="271"/>
      <c r="BE50" s="271"/>
      <c r="BF50" s="271"/>
      <c r="BG50" s="271"/>
      <c r="BH50" s="271"/>
      <c r="BI50" s="271"/>
      <c r="BJ50" s="271"/>
      <c r="BK50" s="271"/>
      <c r="BL50" s="271"/>
      <c r="BM50" s="271"/>
      <c r="BN50" s="271"/>
      <c r="BO50" s="271"/>
      <c r="BP50" s="13"/>
      <c r="BQ50" s="29"/>
      <c r="BR50" s="13"/>
    </row>
    <row r="51" spans="1:70" ht="7.5" customHeight="1">
      <c r="A51" s="19"/>
      <c r="B51" s="408"/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228"/>
      <c r="P51" s="228"/>
      <c r="Q51" s="439"/>
      <c r="R51" s="4"/>
      <c r="S51" s="471"/>
      <c r="T51" s="471"/>
      <c r="U51" s="471"/>
      <c r="V51" s="227"/>
      <c r="W51" s="227"/>
      <c r="X51" s="227"/>
      <c r="Y51" s="37"/>
      <c r="Z51" s="19"/>
      <c r="AA51" s="4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13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13"/>
      <c r="BQ51" s="29"/>
      <c r="BR51" s="13"/>
    </row>
    <row r="52" spans="1:70" ht="7.5" customHeight="1">
      <c r="A52" s="16"/>
      <c r="B52" s="408" t="s">
        <v>262</v>
      </c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228">
        <f>SUM(S52:X53)</f>
        <v>1</v>
      </c>
      <c r="P52" s="228"/>
      <c r="Q52" s="439"/>
      <c r="R52" s="4"/>
      <c r="S52" s="471">
        <f>IF(K26="","",SUM(VLOOKUP(D26,Таблицы!E12:F26,2,FALSE)+IF(Таблицы!E1=5,5,0),IF(OR(Таблицы!F28=8,Таблицы!F29=8),Таблицы!L45,0),IF(OR(Таблицы!F28=24,Таблицы!F29=24),Таблицы!L60,0)))</f>
        <v>1</v>
      </c>
      <c r="T52" s="471"/>
      <c r="U52" s="471"/>
      <c r="V52" s="227"/>
      <c r="W52" s="227"/>
      <c r="X52" s="227"/>
      <c r="Y52" s="37"/>
      <c r="Z52" s="3"/>
      <c r="AA52" s="4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13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13"/>
      <c r="BQ52" s="29"/>
      <c r="BR52" s="13"/>
    </row>
    <row r="53" spans="1:70" ht="7.5" customHeight="1">
      <c r="A53" s="19"/>
      <c r="B53" s="40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228"/>
      <c r="P53" s="228"/>
      <c r="Q53" s="439"/>
      <c r="R53" s="13"/>
      <c r="S53" s="471"/>
      <c r="T53" s="471"/>
      <c r="U53" s="471"/>
      <c r="V53" s="227"/>
      <c r="W53" s="227"/>
      <c r="X53" s="227"/>
      <c r="Y53" s="29"/>
      <c r="Z53" s="19"/>
      <c r="AA53" s="13"/>
      <c r="AH53" s="406" t="str">
        <f>INDEX(Таблицы!P35:W63,Таблицы!F28,Таблицы!E1)</f>
        <v> </v>
      </c>
      <c r="AI53" s="406"/>
      <c r="AJ53" s="406"/>
      <c r="AK53" s="406"/>
      <c r="AL53" s="406"/>
      <c r="AM53" s="406"/>
      <c r="AN53" s="406"/>
      <c r="AO53" s="406"/>
      <c r="AP53" s="406"/>
      <c r="AQ53" s="406"/>
      <c r="AR53" s="406"/>
      <c r="AS53" s="13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13"/>
      <c r="BQ53" s="29"/>
      <c r="BR53" s="13"/>
    </row>
    <row r="54" spans="1:70" ht="7.5" customHeight="1">
      <c r="A54" s="16"/>
      <c r="B54" s="408" t="s">
        <v>263</v>
      </c>
      <c r="C54" s="398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497">
        <f>SUM(S54:X55)</f>
        <v>0.05</v>
      </c>
      <c r="P54" s="497"/>
      <c r="Q54" s="498"/>
      <c r="R54" s="4"/>
      <c r="S54" s="482">
        <f>IF(OR(Таблицы!F28=6,Таблицы!F29=6),SUM(D38/100,Таблицы!L42),D38/100)</f>
        <v>0.05</v>
      </c>
      <c r="T54" s="482"/>
      <c r="U54" s="482"/>
      <c r="V54" s="495"/>
      <c r="W54" s="495"/>
      <c r="X54" s="495"/>
      <c r="Y54" s="37"/>
      <c r="Z54" s="19"/>
      <c r="AA54" s="4"/>
      <c r="AH54" s="406"/>
      <c r="AI54" s="406"/>
      <c r="AJ54" s="406"/>
      <c r="AK54" s="406"/>
      <c r="AL54" s="406"/>
      <c r="AM54" s="406"/>
      <c r="AN54" s="406"/>
      <c r="AO54" s="406"/>
      <c r="AP54" s="406"/>
      <c r="AQ54" s="406"/>
      <c r="AR54" s="406"/>
      <c r="AS54" s="13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13"/>
      <c r="BQ54" s="29"/>
      <c r="BR54" s="13"/>
    </row>
    <row r="55" spans="1:70" ht="7.5" customHeight="1">
      <c r="A55" s="19"/>
      <c r="B55" s="40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497"/>
      <c r="P55" s="497"/>
      <c r="Q55" s="498"/>
      <c r="R55" s="4"/>
      <c r="S55" s="482"/>
      <c r="T55" s="482"/>
      <c r="U55" s="482"/>
      <c r="V55" s="495"/>
      <c r="W55" s="495"/>
      <c r="X55" s="495"/>
      <c r="Y55" s="37"/>
      <c r="Z55" s="3"/>
      <c r="AA55" s="4"/>
      <c r="AH55" s="406"/>
      <c r="AI55" s="406"/>
      <c r="AJ55" s="406"/>
      <c r="AK55" s="406"/>
      <c r="AL55" s="406"/>
      <c r="AM55" s="406"/>
      <c r="AN55" s="406"/>
      <c r="AO55" s="406"/>
      <c r="AP55" s="406"/>
      <c r="AQ55" s="406"/>
      <c r="AR55" s="406"/>
      <c r="AS55" s="13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13"/>
      <c r="BQ55" s="29"/>
      <c r="BR55" s="13"/>
    </row>
    <row r="56" spans="1:70" ht="7.5" customHeight="1">
      <c r="A56" s="16"/>
      <c r="B56" s="408" t="s">
        <v>264</v>
      </c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228">
        <f>SUM(S56:X57)</f>
        <v>1</v>
      </c>
      <c r="P56" s="228"/>
      <c r="Q56" s="439"/>
      <c r="R56" s="13"/>
      <c r="S56" s="471">
        <f>IF(D30=0,"",SUM(VLOOKUP(D30,Таблицы!H12:I25,2,FALSE),IF(OR(Таблицы!F28=2,Таблицы!F29=2),2,0)))</f>
        <v>1</v>
      </c>
      <c r="T56" s="471"/>
      <c r="U56" s="471"/>
      <c r="V56" s="227"/>
      <c r="W56" s="227"/>
      <c r="X56" s="227"/>
      <c r="Y56" s="29"/>
      <c r="Z56" s="19"/>
      <c r="AA56" s="13"/>
      <c r="AH56" s="406"/>
      <c r="AI56" s="406"/>
      <c r="AJ56" s="406"/>
      <c r="AK56" s="406"/>
      <c r="AL56" s="406"/>
      <c r="AM56" s="406"/>
      <c r="AN56" s="406"/>
      <c r="AO56" s="406"/>
      <c r="AP56" s="406"/>
      <c r="AQ56" s="406"/>
      <c r="AR56" s="406"/>
      <c r="AS56" s="13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13"/>
      <c r="BQ56" s="29"/>
      <c r="BR56" s="13"/>
    </row>
    <row r="57" spans="1:70" ht="7.5" customHeight="1">
      <c r="A57" s="19"/>
      <c r="B57" s="408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228"/>
      <c r="P57" s="228"/>
      <c r="Q57" s="439"/>
      <c r="R57" s="4"/>
      <c r="S57" s="471"/>
      <c r="T57" s="471"/>
      <c r="U57" s="471"/>
      <c r="V57" s="227"/>
      <c r="W57" s="227"/>
      <c r="X57" s="227"/>
      <c r="Y57" s="37"/>
      <c r="Z57" s="19"/>
      <c r="AA57" s="4"/>
      <c r="AH57" s="406"/>
      <c r="AI57" s="406"/>
      <c r="AJ57" s="406"/>
      <c r="AK57" s="406"/>
      <c r="AL57" s="406"/>
      <c r="AM57" s="406"/>
      <c r="AN57" s="406"/>
      <c r="AO57" s="406"/>
      <c r="AP57" s="406"/>
      <c r="AQ57" s="406"/>
      <c r="AR57" s="406"/>
      <c r="AS57" s="13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13"/>
      <c r="BQ57" s="29"/>
      <c r="BR57" s="13"/>
    </row>
    <row r="58" spans="1:70" ht="7.5" customHeight="1">
      <c r="A58" s="16"/>
      <c r="B58" s="408" t="s">
        <v>265</v>
      </c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497">
        <f>SUM(S58:X59)</f>
        <v>0.25</v>
      </c>
      <c r="P58" s="497"/>
      <c r="Q58" s="498"/>
      <c r="R58" s="4"/>
      <c r="S58" s="482">
        <f>IF(D30=0,"",SUM(IF(OR(Таблицы!F28=2,Таблицы!F29=2),INDEX(Таблицы!F2:S10,Таблицы!E1,11),IF(((5*D30)/100)+INDEX(Таблицы!F2:S10,Таблицы!E1,11)&gt;1,1,((5*D30)/100)+INDEX(Таблицы!F2:S10,Таблицы!E1,11)))))</f>
        <v>0.25</v>
      </c>
      <c r="T58" s="482"/>
      <c r="U58" s="482"/>
      <c r="V58" s="495"/>
      <c r="W58" s="495"/>
      <c r="X58" s="495"/>
      <c r="Y58" s="37"/>
      <c r="Z58" s="3"/>
      <c r="AA58" s="4"/>
      <c r="AH58" s="406"/>
      <c r="AI58" s="406"/>
      <c r="AJ58" s="406"/>
      <c r="AK58" s="406"/>
      <c r="AL58" s="406"/>
      <c r="AM58" s="406"/>
      <c r="AN58" s="406"/>
      <c r="AO58" s="406"/>
      <c r="AP58" s="406"/>
      <c r="AQ58" s="406"/>
      <c r="AR58" s="406"/>
      <c r="AS58" s="13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13"/>
      <c r="BQ58" s="29"/>
      <c r="BR58" s="13"/>
    </row>
    <row r="59" spans="1:70" ht="7.5" customHeight="1">
      <c r="A59" s="19"/>
      <c r="B59" s="40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497"/>
      <c r="P59" s="497"/>
      <c r="Q59" s="498"/>
      <c r="R59" s="13"/>
      <c r="S59" s="482"/>
      <c r="T59" s="482"/>
      <c r="U59" s="482"/>
      <c r="V59" s="495"/>
      <c r="W59" s="495"/>
      <c r="X59" s="495"/>
      <c r="Y59" s="29"/>
      <c r="Z59" s="19"/>
      <c r="AA59" s="13"/>
      <c r="AH59" s="407"/>
      <c r="AI59" s="407"/>
      <c r="AJ59" s="407"/>
      <c r="AK59" s="407"/>
      <c r="AL59" s="407"/>
      <c r="AM59" s="407"/>
      <c r="AN59" s="407"/>
      <c r="AO59" s="407"/>
      <c r="AP59" s="407"/>
      <c r="AQ59" s="407"/>
      <c r="AR59" s="407"/>
      <c r="AS59" s="13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13"/>
      <c r="BQ59" s="29"/>
      <c r="BR59" s="13"/>
    </row>
    <row r="60" spans="1:70" ht="7.5" customHeight="1">
      <c r="A60" s="16"/>
      <c r="B60" s="408" t="s">
        <v>266</v>
      </c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497">
        <f>SUM(S60:X61)</f>
        <v>0.1</v>
      </c>
      <c r="P60" s="497"/>
      <c r="Q60" s="498"/>
      <c r="R60" s="4"/>
      <c r="S60" s="482">
        <f>IF(OR(Таблицы!F28=19,Таблицы!F29=19),SUM(Таблицы!L56,IF(D30=0,"",IF(OR(Таблицы!F28=2,Таблицы!F29=2),INDEX(Таблицы!F2:S10,Таблицы!E1,12),IF(((2*D30)/100)+INDEX(Таблицы!F2:S10,Таблицы!E1,12)&gt;1,1,((2*D30)/100)+INDEX(Таблицы!F2:S10,Таблицы!E1,12))))),IF(D30=0,"",IF(OR(Таблицы!F28=2,Таблицы!F29=2),INDEX(Таблицы!F2:S10,Таблицы!E1,12),IF(((2*D30)/100)+INDEX(Таблицы!F2:S10,Таблицы!E1,12)&gt;1,1,((2*D30)/100)+INDEX(Таблицы!F2:S10,Таблицы!E1,12)))))</f>
        <v>0.1</v>
      </c>
      <c r="T60" s="482"/>
      <c r="U60" s="482"/>
      <c r="V60" s="495"/>
      <c r="W60" s="495"/>
      <c r="X60" s="495"/>
      <c r="Y60" s="37"/>
      <c r="Z60" s="19"/>
      <c r="AA60" s="4"/>
      <c r="AH60" s="407"/>
      <c r="AI60" s="407"/>
      <c r="AJ60" s="407"/>
      <c r="AK60" s="407"/>
      <c r="AL60" s="407"/>
      <c r="AM60" s="407"/>
      <c r="AN60" s="407"/>
      <c r="AO60" s="407"/>
      <c r="AP60" s="407"/>
      <c r="AQ60" s="407"/>
      <c r="AR60" s="407"/>
      <c r="AS60" s="13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13"/>
      <c r="BQ60" s="29"/>
      <c r="BR60" s="13"/>
    </row>
    <row r="61" spans="1:70" ht="7.5" customHeight="1">
      <c r="A61" s="19"/>
      <c r="B61" s="408"/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497"/>
      <c r="P61" s="497"/>
      <c r="Q61" s="498"/>
      <c r="R61" s="4"/>
      <c r="S61" s="482"/>
      <c r="T61" s="482"/>
      <c r="U61" s="482"/>
      <c r="V61" s="495"/>
      <c r="W61" s="495"/>
      <c r="X61" s="495"/>
      <c r="Y61" s="37"/>
      <c r="Z61" s="3"/>
      <c r="AA61" s="4"/>
      <c r="AH61" s="407"/>
      <c r="AI61" s="407"/>
      <c r="AJ61" s="407"/>
      <c r="AK61" s="407"/>
      <c r="AL61" s="407"/>
      <c r="AM61" s="407"/>
      <c r="AN61" s="407"/>
      <c r="AO61" s="407"/>
      <c r="AP61" s="407"/>
      <c r="AQ61" s="407"/>
      <c r="AR61" s="407"/>
      <c r="AS61" s="13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13"/>
      <c r="BQ61" s="29"/>
      <c r="BR61" s="13"/>
    </row>
    <row r="62" spans="1:70" ht="7.5" customHeight="1">
      <c r="A62" s="16"/>
      <c r="B62" s="408" t="s">
        <v>267</v>
      </c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54" t="str">
        <f>IF(S62="ИММУНИТЕТ","100/100",IF(V62="",S62,CONCATENATE(SUM(LEFT(S62,2)*1,LEFT(V62,2)*1),"/",SUM(RIGHT(S62,2)*1,RIGHT(V62,2)*1))))</f>
        <v>00/00</v>
      </c>
      <c r="P62" s="355"/>
      <c r="Q62" s="493"/>
      <c r="R62" s="13"/>
      <c r="S62" s="471" t="str">
        <f>IF(D28=0,"",INDEX(Таблицы!F2:N10,Таблицы!E1,9))</f>
        <v>00/00</v>
      </c>
      <c r="T62" s="471"/>
      <c r="U62" s="471"/>
      <c r="V62" s="496"/>
      <c r="W62" s="496"/>
      <c r="X62" s="496"/>
      <c r="Y62" s="29"/>
      <c r="Z62" s="19"/>
      <c r="AA62" s="13"/>
      <c r="AH62" s="406" t="str">
        <f>INDEX(Таблицы!P35:W63,Таблицы!F29,Таблицы!E1)</f>
        <v> </v>
      </c>
      <c r="AI62" s="406"/>
      <c r="AJ62" s="406"/>
      <c r="AK62" s="406"/>
      <c r="AL62" s="406"/>
      <c r="AM62" s="406"/>
      <c r="AN62" s="406"/>
      <c r="AO62" s="406"/>
      <c r="AP62" s="406"/>
      <c r="AQ62" s="406"/>
      <c r="AR62" s="406"/>
      <c r="AS62" s="13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13"/>
      <c r="BQ62" s="29"/>
      <c r="BR62" s="13"/>
    </row>
    <row r="63" spans="1:70" ht="7.5" customHeight="1">
      <c r="A63" s="19"/>
      <c r="B63" s="408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57"/>
      <c r="P63" s="358"/>
      <c r="Q63" s="494"/>
      <c r="R63" s="4"/>
      <c r="S63" s="471"/>
      <c r="T63" s="471"/>
      <c r="U63" s="471"/>
      <c r="V63" s="496"/>
      <c r="W63" s="496"/>
      <c r="X63" s="496"/>
      <c r="Y63" s="37"/>
      <c r="Z63" s="19"/>
      <c r="AA63" s="4"/>
      <c r="AH63" s="406"/>
      <c r="AI63" s="406"/>
      <c r="AJ63" s="406"/>
      <c r="AK63" s="406"/>
      <c r="AL63" s="406"/>
      <c r="AM63" s="406"/>
      <c r="AN63" s="406"/>
      <c r="AO63" s="406"/>
      <c r="AP63" s="406"/>
      <c r="AQ63" s="406"/>
      <c r="AR63" s="406"/>
      <c r="AS63" s="13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2"/>
      <c r="BP63" s="13"/>
      <c r="BQ63" s="29"/>
      <c r="BR63" s="13"/>
    </row>
    <row r="64" spans="1:70" ht="7.5" customHeight="1">
      <c r="A64" s="16"/>
      <c r="B64" s="408" t="s">
        <v>268</v>
      </c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497">
        <f>SUM(S64:X65)</f>
        <v>0.1</v>
      </c>
      <c r="P64" s="497"/>
      <c r="Q64" s="498"/>
      <c r="R64" s="4"/>
      <c r="S64" s="482">
        <f>IF(D26=0,"",INDEX(Таблицы!F2:M10,Таблицы!E1,8))</f>
        <v>0.1</v>
      </c>
      <c r="T64" s="482"/>
      <c r="U64" s="482"/>
      <c r="V64" s="495"/>
      <c r="W64" s="495"/>
      <c r="X64" s="495"/>
      <c r="Y64" s="37"/>
      <c r="Z64" s="3"/>
      <c r="AA64" s="4"/>
      <c r="AH64" s="406"/>
      <c r="AI64" s="406"/>
      <c r="AJ64" s="406"/>
      <c r="AK64" s="406"/>
      <c r="AL64" s="406"/>
      <c r="AM64" s="406"/>
      <c r="AN64" s="406"/>
      <c r="AO64" s="406"/>
      <c r="AP64" s="406"/>
      <c r="AQ64" s="406"/>
      <c r="AR64" s="406"/>
      <c r="AS64" s="13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13"/>
      <c r="BQ64" s="29"/>
      <c r="BR64" s="13"/>
    </row>
    <row r="65" spans="1:70" ht="7.5" customHeight="1">
      <c r="A65" s="19"/>
      <c r="B65" s="40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497"/>
      <c r="P65" s="497"/>
      <c r="Q65" s="498"/>
      <c r="R65" s="13"/>
      <c r="S65" s="482"/>
      <c r="T65" s="482"/>
      <c r="U65" s="482"/>
      <c r="V65" s="495"/>
      <c r="W65" s="495"/>
      <c r="X65" s="495"/>
      <c r="Y65" s="29"/>
      <c r="Z65" s="19"/>
      <c r="AA65" s="13"/>
      <c r="AH65" s="406"/>
      <c r="AI65" s="406"/>
      <c r="AJ65" s="406"/>
      <c r="AK65" s="406"/>
      <c r="AL65" s="406"/>
      <c r="AM65" s="406"/>
      <c r="AN65" s="406"/>
      <c r="AO65" s="406"/>
      <c r="AP65" s="406"/>
      <c r="AQ65" s="406"/>
      <c r="AR65" s="406"/>
      <c r="AS65" s="13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13"/>
      <c r="BQ65" s="29"/>
      <c r="BR65" s="13"/>
    </row>
    <row r="66" spans="1:70" ht="7.5" customHeight="1">
      <c r="A66" s="20"/>
      <c r="B66" s="408" t="s">
        <v>269</v>
      </c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228">
        <f>SUM(S66:X67)</f>
        <v>5</v>
      </c>
      <c r="P66" s="228"/>
      <c r="Q66" s="439"/>
      <c r="R66" s="4"/>
      <c r="S66" s="471">
        <f>IF(OR(Таблицы!F28=22,Таблицы!F29=22),SUM(IF(OR(Таблицы!F28=7,Таблицы!F29=7),Таблицы!L43,D36),Таблицы!L58),IF(OR(Таблицы!F28=7,Таблицы!F29=7),Таблицы!L43,D36))</f>
        <v>5</v>
      </c>
      <c r="T66" s="471"/>
      <c r="U66" s="471"/>
      <c r="V66" s="227"/>
      <c r="W66" s="227"/>
      <c r="X66" s="227"/>
      <c r="Y66" s="37"/>
      <c r="Z66" s="19"/>
      <c r="AA66" s="4"/>
      <c r="AH66" s="406"/>
      <c r="AI66" s="406"/>
      <c r="AJ66" s="406"/>
      <c r="AK66" s="406"/>
      <c r="AL66" s="406"/>
      <c r="AM66" s="406"/>
      <c r="AN66" s="406"/>
      <c r="AO66" s="406"/>
      <c r="AP66" s="406"/>
      <c r="AQ66" s="406"/>
      <c r="AR66" s="406"/>
      <c r="AS66" s="13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13"/>
      <c r="BQ66" s="29"/>
      <c r="BR66" s="13"/>
    </row>
    <row r="67" spans="1:75" ht="7.5" customHeight="1" thickBot="1">
      <c r="A67" s="20"/>
      <c r="B67" s="337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440"/>
      <c r="P67" s="440"/>
      <c r="Q67" s="441"/>
      <c r="R67" s="4"/>
      <c r="S67" s="471"/>
      <c r="T67" s="471"/>
      <c r="U67" s="471"/>
      <c r="V67" s="227"/>
      <c r="W67" s="227"/>
      <c r="X67" s="227"/>
      <c r="Y67" s="37"/>
      <c r="Z67" s="3"/>
      <c r="AA67" s="4"/>
      <c r="AH67" s="406"/>
      <c r="AI67" s="406"/>
      <c r="AJ67" s="406"/>
      <c r="AK67" s="406"/>
      <c r="AL67" s="406"/>
      <c r="AM67" s="406"/>
      <c r="AN67" s="406"/>
      <c r="AO67" s="406"/>
      <c r="AP67" s="406"/>
      <c r="AQ67" s="406"/>
      <c r="AR67" s="406"/>
      <c r="AS67" s="13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13"/>
      <c r="BQ67" s="29"/>
      <c r="BR67" s="13"/>
      <c r="BS67" s="13"/>
      <c r="BT67" s="13"/>
      <c r="BU67" s="13"/>
      <c r="BV67" s="13"/>
      <c r="BW67" s="25"/>
    </row>
    <row r="68" spans="1:75" ht="7.5" customHeight="1" thickBot="1">
      <c r="A68" s="18"/>
      <c r="B68" s="6"/>
      <c r="C68" s="6"/>
      <c r="D68" s="6"/>
      <c r="E68" s="6"/>
      <c r="F68" s="38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3"/>
      <c r="Z68" s="32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43"/>
      <c r="BC68" s="43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3"/>
      <c r="BR68" s="13"/>
      <c r="BS68" s="13"/>
      <c r="BT68" s="13"/>
      <c r="BU68" s="13"/>
      <c r="BV68" s="13"/>
      <c r="BW68" s="25"/>
    </row>
    <row r="69" spans="1:69" ht="7.5" customHeight="1" thickBot="1">
      <c r="A69" s="34"/>
      <c r="B69" s="12"/>
      <c r="C69" s="12"/>
      <c r="D69" s="12"/>
      <c r="E69" s="12"/>
      <c r="F69" s="27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72"/>
      <c r="AC69" s="74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28"/>
    </row>
    <row r="70" spans="1:69" ht="7.5" customHeight="1">
      <c r="A70" s="19"/>
      <c r="B70" s="198" t="s">
        <v>277</v>
      </c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200"/>
      <c r="AB70" s="55"/>
      <c r="AC70" s="50"/>
      <c r="AD70" s="198" t="s">
        <v>290</v>
      </c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200"/>
      <c r="BD70" s="13"/>
      <c r="BE70" s="288" t="s">
        <v>325</v>
      </c>
      <c r="BF70" s="289"/>
      <c r="BG70" s="289"/>
      <c r="BH70" s="290"/>
      <c r="BI70" s="280" t="s">
        <v>307</v>
      </c>
      <c r="BJ70" s="280"/>
      <c r="BK70" s="280"/>
      <c r="BL70" s="280"/>
      <c r="BM70" s="280"/>
      <c r="BN70" s="280"/>
      <c r="BO70" s="280"/>
      <c r="BP70" s="281"/>
      <c r="BQ70" s="29"/>
    </row>
    <row r="71" spans="1:69" ht="7.5" customHeight="1" thickBot="1">
      <c r="A71" s="19"/>
      <c r="B71" s="201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3"/>
      <c r="AB71" s="55"/>
      <c r="AC71" s="50"/>
      <c r="AD71" s="201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3"/>
      <c r="BD71" s="13"/>
      <c r="BE71" s="291"/>
      <c r="BF71" s="292"/>
      <c r="BG71" s="292"/>
      <c r="BH71" s="293"/>
      <c r="BI71" s="282"/>
      <c r="BJ71" s="282"/>
      <c r="BK71" s="282"/>
      <c r="BL71" s="282"/>
      <c r="BM71" s="282"/>
      <c r="BN71" s="282"/>
      <c r="BO71" s="282"/>
      <c r="BP71" s="283"/>
      <c r="BQ71" s="29"/>
    </row>
    <row r="72" spans="1:69" ht="7.5" customHeight="1" thickBot="1">
      <c r="A72" s="19"/>
      <c r="B72" s="244" t="s">
        <v>292</v>
      </c>
      <c r="C72" s="245"/>
      <c r="D72" s="245"/>
      <c r="E72" s="246"/>
      <c r="F72" s="399"/>
      <c r="G72" s="400"/>
      <c r="H72" s="400"/>
      <c r="I72" s="400"/>
      <c r="J72" s="400"/>
      <c r="K72" s="400"/>
      <c r="L72" s="400"/>
      <c r="M72" s="400"/>
      <c r="N72" s="400"/>
      <c r="O72" s="400"/>
      <c r="P72" s="400"/>
      <c r="Q72" s="401"/>
      <c r="R72" s="212" t="s">
        <v>929</v>
      </c>
      <c r="S72" s="213"/>
      <c r="T72" s="225">
        <f>IF(INDEX(Таблицы!AA20:AA242,Таблицы!Y21,1)="","",INDEX(Таблицы!AA20:AA242,Таблицы!Y21,1))</f>
      </c>
      <c r="U72" s="225"/>
      <c r="V72" s="218" t="s">
        <v>942</v>
      </c>
      <c r="W72" s="219"/>
      <c r="X72" s="219"/>
      <c r="Y72" s="219"/>
      <c r="Z72" s="222" t="s">
        <v>943</v>
      </c>
      <c r="AA72" s="55"/>
      <c r="AB72" s="55"/>
      <c r="AC72" s="50"/>
      <c r="AD72" s="244" t="s">
        <v>292</v>
      </c>
      <c r="AE72" s="245"/>
      <c r="AF72" s="245"/>
      <c r="AG72" s="246"/>
      <c r="AH72" s="399"/>
      <c r="AI72" s="400"/>
      <c r="AJ72" s="400"/>
      <c r="AK72" s="400"/>
      <c r="AL72" s="400"/>
      <c r="AM72" s="400"/>
      <c r="AN72" s="400"/>
      <c r="AO72" s="400"/>
      <c r="AP72" s="400"/>
      <c r="AQ72" s="400"/>
      <c r="AR72" s="400"/>
      <c r="AS72" s="401"/>
      <c r="AT72" s="212" t="s">
        <v>929</v>
      </c>
      <c r="AU72" s="213"/>
      <c r="AV72" s="225">
        <f>IF(INDEX(Таблицы!AA20:AA242,Таблицы!Y22,1)="","",INDEX(Таблицы!AA20:AA242,Таблицы!Y22,1))</f>
      </c>
      <c r="AW72" s="225"/>
      <c r="AX72" s="218" t="s">
        <v>942</v>
      </c>
      <c r="AY72" s="219"/>
      <c r="AZ72" s="219"/>
      <c r="BA72" s="219"/>
      <c r="BB72" s="222" t="s">
        <v>943</v>
      </c>
      <c r="BC72" s="55"/>
      <c r="BD72" s="13"/>
      <c r="BE72" s="294"/>
      <c r="BF72" s="295"/>
      <c r="BG72" s="295"/>
      <c r="BH72" s="296"/>
      <c r="BI72" s="284"/>
      <c r="BJ72" s="284"/>
      <c r="BK72" s="284"/>
      <c r="BL72" s="284"/>
      <c r="BM72" s="284"/>
      <c r="BN72" s="284"/>
      <c r="BO72" s="284"/>
      <c r="BP72" s="285"/>
      <c r="BQ72" s="29"/>
    </row>
    <row r="73" spans="1:69" ht="7.5" customHeight="1">
      <c r="A73" s="19"/>
      <c r="B73" s="244"/>
      <c r="C73" s="245"/>
      <c r="D73" s="245"/>
      <c r="E73" s="246"/>
      <c r="F73" s="396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3"/>
      <c r="R73" s="214"/>
      <c r="S73" s="215"/>
      <c r="T73" s="226"/>
      <c r="U73" s="226"/>
      <c r="V73" s="220"/>
      <c r="W73" s="221"/>
      <c r="X73" s="221"/>
      <c r="Y73" s="221"/>
      <c r="Z73" s="223"/>
      <c r="AA73" s="55"/>
      <c r="AB73" s="55"/>
      <c r="AC73" s="50"/>
      <c r="AD73" s="244"/>
      <c r="AE73" s="245"/>
      <c r="AF73" s="245"/>
      <c r="AG73" s="246"/>
      <c r="AH73" s="396"/>
      <c r="AI73" s="282"/>
      <c r="AJ73" s="282"/>
      <c r="AK73" s="282"/>
      <c r="AL73" s="282"/>
      <c r="AM73" s="282"/>
      <c r="AN73" s="282"/>
      <c r="AO73" s="282"/>
      <c r="AP73" s="282"/>
      <c r="AQ73" s="282"/>
      <c r="AR73" s="282"/>
      <c r="AS73" s="283"/>
      <c r="AT73" s="214"/>
      <c r="AU73" s="215"/>
      <c r="AV73" s="226"/>
      <c r="AW73" s="226"/>
      <c r="AX73" s="220"/>
      <c r="AY73" s="221"/>
      <c r="AZ73" s="221"/>
      <c r="BA73" s="221"/>
      <c r="BB73" s="223"/>
      <c r="BC73" s="55"/>
      <c r="BD73" s="13"/>
      <c r="BE73" s="286" t="s">
        <v>308</v>
      </c>
      <c r="BF73" s="286"/>
      <c r="BG73" s="287">
        <f>IF(INDEX(Таблицы!AA483:AA515,Таблицы!Y482,1)="","",INDEX(Таблицы!AA483:AA515,Таблицы!Y482,1))</f>
      </c>
      <c r="BH73" s="287"/>
      <c r="BI73" s="172" t="s">
        <v>309</v>
      </c>
      <c r="BJ73" s="172"/>
      <c r="BK73" s="228">
        <f>IF(INDEX(Таблицы!AB483:AB515,Таблицы!Y482,1)="","",INDEX(Таблицы!AB483:AB515,Таблицы!Y482,1))</f>
      </c>
      <c r="BL73" s="228"/>
      <c r="BM73" s="172" t="s">
        <v>310</v>
      </c>
      <c r="BN73" s="172"/>
      <c r="BO73" s="228">
        <f>IF(INDEX(Таблицы!AC483:AC515,Таблицы!Y482,1)="","",INDEX(Таблицы!AC483:AC515,Таблицы!Y482,1))</f>
      </c>
      <c r="BP73" s="228"/>
      <c r="BQ73" s="29"/>
    </row>
    <row r="74" spans="1:69" ht="7.5" customHeight="1">
      <c r="A74" s="19"/>
      <c r="B74" s="247"/>
      <c r="C74" s="248"/>
      <c r="D74" s="248"/>
      <c r="E74" s="249"/>
      <c r="F74" s="397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5"/>
      <c r="R74" s="216"/>
      <c r="S74" s="217"/>
      <c r="T74" s="226"/>
      <c r="U74" s="226"/>
      <c r="V74" s="50"/>
      <c r="W74" s="13"/>
      <c r="X74" s="13"/>
      <c r="Y74" s="13"/>
      <c r="Z74" s="13"/>
      <c r="AA74" s="55"/>
      <c r="AB74" s="55"/>
      <c r="AC74" s="50"/>
      <c r="AD74" s="247"/>
      <c r="AE74" s="248"/>
      <c r="AF74" s="248"/>
      <c r="AG74" s="249"/>
      <c r="AH74" s="397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5"/>
      <c r="AT74" s="216"/>
      <c r="AU74" s="217"/>
      <c r="AV74" s="226"/>
      <c r="AW74" s="226"/>
      <c r="AX74" s="50"/>
      <c r="AY74" s="13"/>
      <c r="AZ74" s="13"/>
      <c r="BA74" s="13"/>
      <c r="BB74" s="13"/>
      <c r="BC74" s="55"/>
      <c r="BD74" s="13"/>
      <c r="BE74" s="172"/>
      <c r="BF74" s="172"/>
      <c r="BG74" s="228"/>
      <c r="BH74" s="228"/>
      <c r="BI74" s="172"/>
      <c r="BJ74" s="172"/>
      <c r="BK74" s="228"/>
      <c r="BL74" s="228"/>
      <c r="BM74" s="172"/>
      <c r="BN74" s="172"/>
      <c r="BO74" s="228"/>
      <c r="BP74" s="228"/>
      <c r="BQ74" s="29"/>
    </row>
    <row r="75" spans="1:69" ht="7.5" customHeight="1">
      <c r="A75" s="19"/>
      <c r="B75" s="172" t="s">
        <v>278</v>
      </c>
      <c r="C75" s="170">
        <f>IF(INDEX(Таблицы!AB20:AB241,Таблицы!Y21,1)="","",INDEX(Таблицы!AB20:AB241,Таблицы!Y21,1))</f>
      </c>
      <c r="D75" s="171"/>
      <c r="E75" s="169"/>
      <c r="F75" s="172" t="s">
        <v>279</v>
      </c>
      <c r="G75" s="172"/>
      <c r="H75" s="163">
        <f>IF(INDEX(Таблицы!AC20:AC241,Таблицы!Y21,1)="","",INDEX(Таблицы!AC20:AC241,Таблицы!Y21,1))</f>
      </c>
      <c r="I75" s="164"/>
      <c r="J75" s="164"/>
      <c r="K75" s="164"/>
      <c r="L75" s="164"/>
      <c r="M75" s="164"/>
      <c r="N75" s="164"/>
      <c r="O75" s="165"/>
      <c r="P75" s="172" t="s">
        <v>280</v>
      </c>
      <c r="Q75" s="172"/>
      <c r="R75" s="354">
        <f>IF(INDEX(Таблицы!AD20:AD242,Таблицы!Y21,1)="","",INDEX(Таблицы!AD20:AD242,Таблицы!Y21,1))</f>
      </c>
      <c r="S75" s="355"/>
      <c r="T75" s="355"/>
      <c r="U75" s="356"/>
      <c r="V75" s="50"/>
      <c r="W75" s="13"/>
      <c r="X75" s="13"/>
      <c r="Y75" s="13"/>
      <c r="Z75" s="13"/>
      <c r="AA75" s="55"/>
      <c r="AB75" s="55"/>
      <c r="AC75" s="50"/>
      <c r="AD75" s="172" t="s">
        <v>278</v>
      </c>
      <c r="AE75" s="170">
        <f>IF(INDEX(Таблицы!AB20:AB242,Таблицы!Y22,1)="","",INDEX(Таблицы!AB20:AB242,Таблицы!Y22,1))</f>
      </c>
      <c r="AF75" s="171"/>
      <c r="AG75" s="169"/>
      <c r="AH75" s="172" t="s">
        <v>279</v>
      </c>
      <c r="AI75" s="172"/>
      <c r="AJ75" s="163">
        <f>IF(INDEX(Таблицы!AC20:AC242,Таблицы!Y22,1)="","",INDEX(Таблицы!AC20:AC242,Таблицы!Y22,1))</f>
      </c>
      <c r="AK75" s="164"/>
      <c r="AL75" s="164"/>
      <c r="AM75" s="164"/>
      <c r="AN75" s="164"/>
      <c r="AO75" s="164"/>
      <c r="AP75" s="164"/>
      <c r="AQ75" s="165"/>
      <c r="AR75" s="172" t="s">
        <v>280</v>
      </c>
      <c r="AS75" s="172"/>
      <c r="AT75" s="354">
        <f>IF(INDEX(Таблицы!AD20:AD242,Таблицы!Y22,1)="","",INDEX(Таблицы!AD20:AD242,Таблицы!Y22,1))</f>
      </c>
      <c r="AU75" s="355"/>
      <c r="AV75" s="355"/>
      <c r="AW75" s="356"/>
      <c r="AX75" s="50"/>
      <c r="AY75" s="13"/>
      <c r="AZ75" s="13"/>
      <c r="BA75" s="13"/>
      <c r="BB75" s="13"/>
      <c r="BC75" s="55"/>
      <c r="BD75" s="13"/>
      <c r="BE75" s="172" t="s">
        <v>311</v>
      </c>
      <c r="BF75" s="172"/>
      <c r="BG75" s="228">
        <f>IF(INDEX(Таблицы!AD483:AD515,Таблицы!Y482,1)="","",INDEX(Таблицы!AD483:AD515,Таблицы!Y482,1))</f>
      </c>
      <c r="BH75" s="228"/>
      <c r="BI75" s="172" t="s">
        <v>312</v>
      </c>
      <c r="BJ75" s="172"/>
      <c r="BK75" s="228">
        <f>IF(INDEX(Таблицы!AE483:AE515,Таблицы!Y482,1)="","",INDEX(Таблицы!AE483:AE515,Таблицы!Y482,1))</f>
      </c>
      <c r="BL75" s="228"/>
      <c r="BM75" s="172" t="s">
        <v>313</v>
      </c>
      <c r="BN75" s="172"/>
      <c r="BO75" s="228">
        <f>IF(INDEX(Таблицы!AF483:AF515,Таблицы!Y482,1)="","",INDEX(Таблицы!AF483:AF515,Таблицы!Y482,1))</f>
      </c>
      <c r="BP75" s="228"/>
      <c r="BQ75" s="29"/>
    </row>
    <row r="76" spans="1:69" ht="7.5" customHeight="1">
      <c r="A76" s="19"/>
      <c r="B76" s="172"/>
      <c r="C76" s="168"/>
      <c r="D76" s="166"/>
      <c r="E76" s="167"/>
      <c r="F76" s="172"/>
      <c r="G76" s="172"/>
      <c r="H76" s="162"/>
      <c r="I76" s="196"/>
      <c r="J76" s="196"/>
      <c r="K76" s="196"/>
      <c r="L76" s="196"/>
      <c r="M76" s="196"/>
      <c r="N76" s="196"/>
      <c r="O76" s="197"/>
      <c r="P76" s="172"/>
      <c r="Q76" s="172"/>
      <c r="R76" s="357"/>
      <c r="S76" s="358"/>
      <c r="T76" s="358"/>
      <c r="U76" s="359"/>
      <c r="V76" s="360" t="s">
        <v>100</v>
      </c>
      <c r="W76" s="361"/>
      <c r="X76" s="224">
        <v>1</v>
      </c>
      <c r="Y76" s="224"/>
      <c r="Z76" s="224">
        <v>2</v>
      </c>
      <c r="AA76" s="224"/>
      <c r="AB76" s="55"/>
      <c r="AC76" s="50"/>
      <c r="AD76" s="172"/>
      <c r="AE76" s="168"/>
      <c r="AF76" s="166"/>
      <c r="AG76" s="167"/>
      <c r="AH76" s="172"/>
      <c r="AI76" s="172"/>
      <c r="AJ76" s="162"/>
      <c r="AK76" s="196"/>
      <c r="AL76" s="196"/>
      <c r="AM76" s="196"/>
      <c r="AN76" s="196"/>
      <c r="AO76" s="196"/>
      <c r="AP76" s="196"/>
      <c r="AQ76" s="197"/>
      <c r="AR76" s="172"/>
      <c r="AS76" s="172"/>
      <c r="AT76" s="357"/>
      <c r="AU76" s="358"/>
      <c r="AV76" s="358"/>
      <c r="AW76" s="359"/>
      <c r="AX76" s="360" t="s">
        <v>100</v>
      </c>
      <c r="AY76" s="361"/>
      <c r="AZ76" s="224">
        <v>1</v>
      </c>
      <c r="BA76" s="224"/>
      <c r="BB76" s="224">
        <v>2</v>
      </c>
      <c r="BC76" s="224"/>
      <c r="BD76" s="13"/>
      <c r="BE76" s="172"/>
      <c r="BF76" s="172"/>
      <c r="BG76" s="228"/>
      <c r="BH76" s="228"/>
      <c r="BI76" s="172"/>
      <c r="BJ76" s="172"/>
      <c r="BK76" s="228"/>
      <c r="BL76" s="228"/>
      <c r="BM76" s="172"/>
      <c r="BN76" s="172"/>
      <c r="BO76" s="228"/>
      <c r="BP76" s="228"/>
      <c r="BQ76" s="29"/>
    </row>
    <row r="77" spans="1:69" ht="7.5" customHeight="1">
      <c r="A77" s="19"/>
      <c r="B77" s="172" t="s">
        <v>281</v>
      </c>
      <c r="C77" s="172"/>
      <c r="D77" s="172" t="s">
        <v>282</v>
      </c>
      <c r="E77" s="228">
        <f>IF(INDEX(Таблицы!AE20:AE242,Таблицы!Y21,1)="","",INDEX(Таблицы!AE20:AE242,Таблицы!Y21,1))</f>
      </c>
      <c r="F77" s="228"/>
      <c r="G77" s="172" t="s">
        <v>283</v>
      </c>
      <c r="H77" s="228">
        <f>IF(INDEX(Таблицы!AF20:AF242,Таблицы!Y21,1)="","",INDEX(Таблицы!AF20:AF242,Таблицы!Y21,1))</f>
      </c>
      <c r="I77" s="228"/>
      <c r="J77" s="172" t="s">
        <v>284</v>
      </c>
      <c r="K77" s="228">
        <f>IF(INDEX(Таблицы!AG20:AG242,Таблицы!Y21,1)="","",INDEX(Таблицы!AG20:AG242,Таблицы!Y21,1))</f>
      </c>
      <c r="L77" s="228"/>
      <c r="M77" s="172" t="s">
        <v>99</v>
      </c>
      <c r="N77" s="172"/>
      <c r="O77" s="172"/>
      <c r="P77" s="172"/>
      <c r="Q77" s="172"/>
      <c r="R77" s="172"/>
      <c r="S77" s="172"/>
      <c r="T77" s="228">
        <f>IF(INDEX(Таблицы!AH20:AH242,Таблицы!Y21,1)="","",INDEX(Таблицы!AH20:AH242,Таблицы!Y21,1))</f>
      </c>
      <c r="U77" s="228"/>
      <c r="V77" s="360"/>
      <c r="W77" s="361"/>
      <c r="X77" s="224"/>
      <c r="Y77" s="224"/>
      <c r="Z77" s="224"/>
      <c r="AA77" s="224"/>
      <c r="AB77" s="55"/>
      <c r="AC77" s="50"/>
      <c r="AD77" s="172" t="s">
        <v>281</v>
      </c>
      <c r="AE77" s="172"/>
      <c r="AF77" s="172" t="s">
        <v>282</v>
      </c>
      <c r="AG77" s="228">
        <f>IF(INDEX(Таблицы!AE20:AE242,Таблицы!Y22,1)="","",INDEX(Таблицы!AE20:AE242,Таблицы!Y22,1))</f>
      </c>
      <c r="AH77" s="228"/>
      <c r="AI77" s="172" t="s">
        <v>283</v>
      </c>
      <c r="AJ77" s="228">
        <f>IF(INDEX(Таблицы!AF20:AF242,Таблицы!Y22,1)="","",INDEX(Таблицы!AF20:AF242,Таблицы!Y22,1))</f>
      </c>
      <c r="AK77" s="228"/>
      <c r="AL77" s="172" t="s">
        <v>284</v>
      </c>
      <c r="AM77" s="228">
        <f>IF(INDEX(Таблицы!AG20:AG242,Таблицы!Y22,1)="","",INDEX(Таблицы!AG20:AG242,Таблицы!Y22,1))</f>
      </c>
      <c r="AN77" s="228"/>
      <c r="AO77" s="172" t="s">
        <v>99</v>
      </c>
      <c r="AP77" s="172"/>
      <c r="AQ77" s="172"/>
      <c r="AR77" s="172"/>
      <c r="AS77" s="172"/>
      <c r="AT77" s="172"/>
      <c r="AU77" s="172"/>
      <c r="AV77" s="228">
        <f>IF(INDEX(Таблицы!AH20:AH242,Таблицы!Y22,1)="","",INDEX(Таблицы!AH20:AH242,Таблицы!Y22,1))</f>
      </c>
      <c r="AW77" s="228"/>
      <c r="AX77" s="360"/>
      <c r="AY77" s="361"/>
      <c r="AZ77" s="224"/>
      <c r="BA77" s="224"/>
      <c r="BB77" s="224"/>
      <c r="BC77" s="224"/>
      <c r="BD77" s="13"/>
      <c r="BE77" s="172" t="s">
        <v>314</v>
      </c>
      <c r="BF77" s="172"/>
      <c r="BG77" s="354">
        <f>IF(INDEX(Таблицы!AG483:AG515,Таблицы!Y482,1)="","",INDEX(Таблицы!AG483:AG515,Таблицы!Y482,1))</f>
      </c>
      <c r="BH77" s="355"/>
      <c r="BI77" s="355"/>
      <c r="BJ77" s="356"/>
      <c r="BK77" s="327" t="s">
        <v>323</v>
      </c>
      <c r="BL77" s="328"/>
      <c r="BM77" s="342"/>
      <c r="BN77" s="343"/>
      <c r="BO77" s="338">
        <f>IF(INDEX(Таблицы!AS483:AS515,Таблицы!Y482,1)="","",INDEX(Таблицы!AS483:AS515,Таблицы!Y482,1))</f>
      </c>
      <c r="BP77" s="339"/>
      <c r="BQ77" s="29"/>
    </row>
    <row r="78" spans="1:69" ht="7.5" customHeight="1">
      <c r="A78" s="19"/>
      <c r="B78" s="172"/>
      <c r="C78" s="172"/>
      <c r="D78" s="172"/>
      <c r="E78" s="228"/>
      <c r="F78" s="228"/>
      <c r="G78" s="172"/>
      <c r="H78" s="228"/>
      <c r="I78" s="228"/>
      <c r="J78" s="172"/>
      <c r="K78" s="228"/>
      <c r="L78" s="228"/>
      <c r="M78" s="172"/>
      <c r="N78" s="172"/>
      <c r="O78" s="172"/>
      <c r="P78" s="172"/>
      <c r="Q78" s="172"/>
      <c r="R78" s="172"/>
      <c r="S78" s="172"/>
      <c r="T78" s="228"/>
      <c r="U78" s="228"/>
      <c r="V78" s="360"/>
      <c r="W78" s="361"/>
      <c r="X78" s="224">
        <v>3</v>
      </c>
      <c r="Y78" s="224"/>
      <c r="Z78" s="224">
        <v>4</v>
      </c>
      <c r="AA78" s="224"/>
      <c r="AB78" s="55"/>
      <c r="AC78" s="50"/>
      <c r="AD78" s="172"/>
      <c r="AE78" s="172"/>
      <c r="AF78" s="172"/>
      <c r="AG78" s="228"/>
      <c r="AH78" s="228"/>
      <c r="AI78" s="172"/>
      <c r="AJ78" s="228"/>
      <c r="AK78" s="228"/>
      <c r="AL78" s="172"/>
      <c r="AM78" s="228"/>
      <c r="AN78" s="228"/>
      <c r="AO78" s="172"/>
      <c r="AP78" s="172"/>
      <c r="AQ78" s="172"/>
      <c r="AR78" s="172"/>
      <c r="AS78" s="172"/>
      <c r="AT78" s="172"/>
      <c r="AU78" s="172"/>
      <c r="AV78" s="228"/>
      <c r="AW78" s="228"/>
      <c r="AX78" s="360"/>
      <c r="AY78" s="361"/>
      <c r="AZ78" s="224">
        <v>3</v>
      </c>
      <c r="BA78" s="224"/>
      <c r="BB78" s="224">
        <v>4</v>
      </c>
      <c r="BC78" s="224"/>
      <c r="BD78" s="13"/>
      <c r="BE78" s="172"/>
      <c r="BF78" s="172"/>
      <c r="BG78" s="357"/>
      <c r="BH78" s="358"/>
      <c r="BI78" s="358"/>
      <c r="BJ78" s="359"/>
      <c r="BK78" s="329"/>
      <c r="BL78" s="330"/>
      <c r="BM78" s="344"/>
      <c r="BN78" s="345"/>
      <c r="BO78" s="340"/>
      <c r="BP78" s="341"/>
      <c r="BQ78" s="29"/>
    </row>
    <row r="79" spans="1:69" ht="7.5" customHeight="1">
      <c r="A79" s="19"/>
      <c r="B79" s="241" t="s">
        <v>930</v>
      </c>
      <c r="C79" s="242"/>
      <c r="D79" s="243"/>
      <c r="E79" s="242"/>
      <c r="F79" s="242"/>
      <c r="G79" s="242"/>
      <c r="H79" s="242"/>
      <c r="I79" s="242"/>
      <c r="J79" s="242"/>
      <c r="K79" s="242"/>
      <c r="L79" s="242"/>
      <c r="M79" s="243"/>
      <c r="N79" s="250" t="s">
        <v>298</v>
      </c>
      <c r="O79" s="251"/>
      <c r="P79" s="225">
        <f>IF(INDEX(Таблицы!AB245:AB323,Таблицы!Y245,1)="","",INDEX(Таблицы!AB245:AB323,Таблицы!Y245,1))</f>
      </c>
      <c r="Q79" s="225"/>
      <c r="R79" s="250" t="s">
        <v>831</v>
      </c>
      <c r="S79" s="251"/>
      <c r="T79" s="225">
        <f>IF(INDEX(Таблицы!AC245:AC323,Таблицы!Y245,1)="","",INDEX(Таблицы!AC245:AC323,Таблицы!Y245,1))</f>
      </c>
      <c r="U79" s="225"/>
      <c r="V79" s="360"/>
      <c r="W79" s="361"/>
      <c r="X79" s="224"/>
      <c r="Y79" s="224"/>
      <c r="Z79" s="224"/>
      <c r="AA79" s="224"/>
      <c r="AB79" s="55"/>
      <c r="AC79" s="50"/>
      <c r="AD79" s="241" t="s">
        <v>930</v>
      </c>
      <c r="AE79" s="242"/>
      <c r="AF79" s="243"/>
      <c r="AG79" s="242"/>
      <c r="AH79" s="242"/>
      <c r="AI79" s="242"/>
      <c r="AJ79" s="242"/>
      <c r="AK79" s="242"/>
      <c r="AL79" s="242"/>
      <c r="AM79" s="242"/>
      <c r="AN79" s="242"/>
      <c r="AO79" s="243"/>
      <c r="AP79" s="250" t="s">
        <v>298</v>
      </c>
      <c r="AQ79" s="251"/>
      <c r="AR79" s="225">
        <f>IF(INDEX(Таблицы!AB245:AB323,Таблицы!Y246,1)="","",INDEX(Таблицы!AB245:AB323,Таблицы!Y246,1))</f>
      </c>
      <c r="AS79" s="225"/>
      <c r="AT79" s="250" t="s">
        <v>831</v>
      </c>
      <c r="AU79" s="251"/>
      <c r="AV79" s="225">
        <f>IF(INDEX(Таблицы!AC245:AC323,Таблицы!Y246,1)="","",INDEX(Таблицы!AC245:AC323,Таблицы!Y246,1))</f>
      </c>
      <c r="AW79" s="225"/>
      <c r="AX79" s="360"/>
      <c r="AY79" s="361"/>
      <c r="AZ79" s="224"/>
      <c r="BA79" s="224"/>
      <c r="BB79" s="224"/>
      <c r="BC79" s="224"/>
      <c r="BD79" s="13"/>
      <c r="BE79" s="297" t="s">
        <v>223</v>
      </c>
      <c r="BF79" s="297"/>
      <c r="BG79" s="297"/>
      <c r="BH79" s="172" t="s">
        <v>282</v>
      </c>
      <c r="BI79" s="228">
        <f>IF(INDEX(Таблицы!AN483:AN515,Таблицы!Y482,1)="","",INDEX(Таблицы!AN483:AN515,Таблицы!Y482,1))</f>
      </c>
      <c r="BJ79" s="228"/>
      <c r="BK79" s="172" t="s">
        <v>322</v>
      </c>
      <c r="BL79" s="228">
        <f>IF(INDEX(Таблицы!AO483:AO515,Таблицы!Y482,1)="","",INDEX(Таблицы!AO483:AO515,Таблицы!Y482,1))</f>
      </c>
      <c r="BM79" s="228"/>
      <c r="BN79" s="172" t="s">
        <v>284</v>
      </c>
      <c r="BO79" s="228">
        <f>IF(INDEX(Таблицы!AP483:AP515,Таблицы!Y482,1)="","",INDEX(Таблицы!AP483:AP515,Таблицы!Y482,1))</f>
      </c>
      <c r="BP79" s="228"/>
      <c r="BQ79" s="29"/>
    </row>
    <row r="80" spans="1:69" ht="7.5" customHeight="1">
      <c r="A80" s="19"/>
      <c r="B80" s="244"/>
      <c r="C80" s="245"/>
      <c r="D80" s="246"/>
      <c r="E80" s="245"/>
      <c r="F80" s="245"/>
      <c r="G80" s="245"/>
      <c r="H80" s="245"/>
      <c r="I80" s="245"/>
      <c r="J80" s="245"/>
      <c r="K80" s="245"/>
      <c r="L80" s="245"/>
      <c r="M80" s="246"/>
      <c r="N80" s="214"/>
      <c r="O80" s="252"/>
      <c r="P80" s="226"/>
      <c r="Q80" s="226"/>
      <c r="R80" s="214"/>
      <c r="S80" s="252"/>
      <c r="T80" s="226"/>
      <c r="U80" s="226"/>
      <c r="V80" s="360"/>
      <c r="W80" s="361"/>
      <c r="X80" s="224">
        <v>5</v>
      </c>
      <c r="Y80" s="224"/>
      <c r="Z80" s="224">
        <v>6</v>
      </c>
      <c r="AA80" s="224"/>
      <c r="AB80" s="55"/>
      <c r="AC80" s="50"/>
      <c r="AD80" s="244"/>
      <c r="AE80" s="245"/>
      <c r="AF80" s="246"/>
      <c r="AG80" s="245"/>
      <c r="AH80" s="245"/>
      <c r="AI80" s="245"/>
      <c r="AJ80" s="245"/>
      <c r="AK80" s="245"/>
      <c r="AL80" s="245"/>
      <c r="AM80" s="245"/>
      <c r="AN80" s="245"/>
      <c r="AO80" s="246"/>
      <c r="AP80" s="214"/>
      <c r="AQ80" s="252"/>
      <c r="AR80" s="226"/>
      <c r="AS80" s="226"/>
      <c r="AT80" s="214"/>
      <c r="AU80" s="252"/>
      <c r="AV80" s="226"/>
      <c r="AW80" s="226"/>
      <c r="AX80" s="360"/>
      <c r="AY80" s="361"/>
      <c r="AZ80" s="224">
        <v>5</v>
      </c>
      <c r="BA80" s="224"/>
      <c r="BB80" s="224">
        <v>6</v>
      </c>
      <c r="BC80" s="224"/>
      <c r="BD80" s="13"/>
      <c r="BE80" s="297"/>
      <c r="BF80" s="297"/>
      <c r="BG80" s="297"/>
      <c r="BH80" s="172"/>
      <c r="BI80" s="228"/>
      <c r="BJ80" s="228"/>
      <c r="BK80" s="172"/>
      <c r="BL80" s="228"/>
      <c r="BM80" s="228"/>
      <c r="BN80" s="172"/>
      <c r="BO80" s="228"/>
      <c r="BP80" s="228"/>
      <c r="BQ80" s="29"/>
    </row>
    <row r="81" spans="1:69" ht="7.5" customHeight="1">
      <c r="A81" s="19"/>
      <c r="B81" s="247"/>
      <c r="C81" s="248"/>
      <c r="D81" s="249"/>
      <c r="E81" s="248"/>
      <c r="F81" s="248"/>
      <c r="G81" s="248"/>
      <c r="H81" s="248"/>
      <c r="I81" s="248"/>
      <c r="J81" s="248"/>
      <c r="K81" s="248"/>
      <c r="L81" s="248"/>
      <c r="M81" s="249"/>
      <c r="N81" s="216"/>
      <c r="O81" s="253"/>
      <c r="P81" s="226"/>
      <c r="Q81" s="226"/>
      <c r="R81" s="216"/>
      <c r="S81" s="253"/>
      <c r="T81" s="226"/>
      <c r="U81" s="226"/>
      <c r="V81" s="360"/>
      <c r="W81" s="361"/>
      <c r="X81" s="224"/>
      <c r="Y81" s="224"/>
      <c r="Z81" s="224"/>
      <c r="AA81" s="224"/>
      <c r="AB81" s="55"/>
      <c r="AC81" s="50"/>
      <c r="AD81" s="247"/>
      <c r="AE81" s="248"/>
      <c r="AF81" s="249"/>
      <c r="AG81" s="248"/>
      <c r="AH81" s="248"/>
      <c r="AI81" s="248"/>
      <c r="AJ81" s="248"/>
      <c r="AK81" s="248"/>
      <c r="AL81" s="248"/>
      <c r="AM81" s="248"/>
      <c r="AN81" s="248"/>
      <c r="AO81" s="249"/>
      <c r="AP81" s="216"/>
      <c r="AQ81" s="253"/>
      <c r="AR81" s="226"/>
      <c r="AS81" s="226"/>
      <c r="AT81" s="216"/>
      <c r="AU81" s="253"/>
      <c r="AV81" s="226"/>
      <c r="AW81" s="226"/>
      <c r="AX81" s="360"/>
      <c r="AY81" s="361"/>
      <c r="AZ81" s="224"/>
      <c r="BA81" s="224"/>
      <c r="BB81" s="224"/>
      <c r="BC81" s="224"/>
      <c r="BD81" s="13"/>
      <c r="BE81" s="297"/>
      <c r="BF81" s="297"/>
      <c r="BG81" s="297"/>
      <c r="BH81" s="172" t="s">
        <v>283</v>
      </c>
      <c r="BI81" s="228">
        <f>IF(INDEX(Таблицы!AQ483:AQ515,Таблицы!Y482,1)="","",INDEX(Таблицы!AQ483:AQ515,Таблицы!Y482,1))</f>
      </c>
      <c r="BJ81" s="228"/>
      <c r="BK81" s="172" t="s">
        <v>278</v>
      </c>
      <c r="BL81" s="255">
        <f>IF(INDEX(Таблицы!AR483:AR515,Таблицы!Y482,1)="","",INDEX(Таблицы!AR483:AR515,Таблицы!Y482,1))</f>
      </c>
      <c r="BM81" s="256"/>
      <c r="BN81" s="256"/>
      <c r="BO81" s="256"/>
      <c r="BP81" s="257"/>
      <c r="BQ81" s="29"/>
    </row>
    <row r="82" spans="1:69" ht="7.5" customHeight="1">
      <c r="A82" s="19"/>
      <c r="B82" s="172" t="s">
        <v>279</v>
      </c>
      <c r="C82" s="172"/>
      <c r="D82" s="229">
        <f>IF(INDEX(Таблицы!AE245:AE323,Таблицы!Y245,1)="","",INDEX(Таблицы!AE245:AE323,Таблицы!Y245,1))</f>
      </c>
      <c r="E82" s="230"/>
      <c r="F82" s="230"/>
      <c r="G82" s="230"/>
      <c r="H82" s="231"/>
      <c r="I82" s="235" t="s">
        <v>832</v>
      </c>
      <c r="J82" s="236"/>
      <c r="K82" s="237"/>
      <c r="L82" s="229">
        <f>IF(INDEX(Таблицы!AF245:AF323,Таблицы!Y245,1)="","",INDEX(Таблицы!AF245:AF323,Таблицы!Y245,1))</f>
      </c>
      <c r="M82" s="230"/>
      <c r="N82" s="230"/>
      <c r="O82" s="230"/>
      <c r="P82" s="230"/>
      <c r="Q82" s="230"/>
      <c r="R82" s="230"/>
      <c r="S82" s="230"/>
      <c r="T82" s="230"/>
      <c r="U82" s="231"/>
      <c r="V82" s="360"/>
      <c r="W82" s="361"/>
      <c r="X82" s="224">
        <v>7</v>
      </c>
      <c r="Y82" s="224"/>
      <c r="Z82" s="224">
        <v>8</v>
      </c>
      <c r="AA82" s="224"/>
      <c r="AB82" s="55"/>
      <c r="AC82" s="50"/>
      <c r="AD82" s="172" t="s">
        <v>279</v>
      </c>
      <c r="AE82" s="172"/>
      <c r="AF82" s="229">
        <f>IF(INDEX(Таблицы!AE245:AE323,Таблицы!Y246,1)="","",INDEX(Таблицы!AE245:AE323,Таблицы!Y246,1))</f>
      </c>
      <c r="AG82" s="230"/>
      <c r="AH82" s="230"/>
      <c r="AI82" s="230"/>
      <c r="AJ82" s="231"/>
      <c r="AK82" s="235" t="s">
        <v>832</v>
      </c>
      <c r="AL82" s="236"/>
      <c r="AM82" s="237"/>
      <c r="AN82" s="229">
        <f>IF(INDEX(Таблицы!AF245:AF323,Таблицы!Y246,1)="","",INDEX(Таблицы!AF245:AF323,Таблицы!Y246,1))</f>
      </c>
      <c r="AO82" s="230"/>
      <c r="AP82" s="230"/>
      <c r="AQ82" s="230"/>
      <c r="AR82" s="230"/>
      <c r="AS82" s="230"/>
      <c r="AT82" s="230"/>
      <c r="AU82" s="230"/>
      <c r="AV82" s="230"/>
      <c r="AW82" s="231"/>
      <c r="AX82" s="360"/>
      <c r="AY82" s="361"/>
      <c r="AZ82" s="224">
        <v>7</v>
      </c>
      <c r="BA82" s="224"/>
      <c r="BB82" s="224">
        <v>8</v>
      </c>
      <c r="BC82" s="224"/>
      <c r="BD82" s="13"/>
      <c r="BE82" s="297"/>
      <c r="BF82" s="297"/>
      <c r="BG82" s="297"/>
      <c r="BH82" s="172"/>
      <c r="BI82" s="228"/>
      <c r="BJ82" s="228"/>
      <c r="BK82" s="172"/>
      <c r="BL82" s="258"/>
      <c r="BM82" s="259"/>
      <c r="BN82" s="259"/>
      <c r="BO82" s="259"/>
      <c r="BP82" s="260"/>
      <c r="BQ82" s="29"/>
    </row>
    <row r="83" spans="1:69" ht="7.5" customHeight="1">
      <c r="A83" s="19"/>
      <c r="B83" s="172"/>
      <c r="C83" s="172"/>
      <c r="D83" s="232"/>
      <c r="E83" s="233"/>
      <c r="F83" s="233"/>
      <c r="G83" s="233"/>
      <c r="H83" s="234"/>
      <c r="I83" s="238"/>
      <c r="J83" s="239"/>
      <c r="K83" s="240"/>
      <c r="L83" s="232"/>
      <c r="M83" s="233"/>
      <c r="N83" s="233"/>
      <c r="O83" s="233"/>
      <c r="P83" s="233"/>
      <c r="Q83" s="233"/>
      <c r="R83" s="233"/>
      <c r="S83" s="233"/>
      <c r="T83" s="233"/>
      <c r="U83" s="234"/>
      <c r="V83" s="360"/>
      <c r="W83" s="361"/>
      <c r="X83" s="224"/>
      <c r="Y83" s="224"/>
      <c r="Z83" s="224"/>
      <c r="AA83" s="224"/>
      <c r="AB83" s="55"/>
      <c r="AC83" s="50"/>
      <c r="AD83" s="172"/>
      <c r="AE83" s="172"/>
      <c r="AF83" s="232"/>
      <c r="AG83" s="233"/>
      <c r="AH83" s="233"/>
      <c r="AI83" s="233"/>
      <c r="AJ83" s="234"/>
      <c r="AK83" s="238"/>
      <c r="AL83" s="239"/>
      <c r="AM83" s="240"/>
      <c r="AN83" s="232"/>
      <c r="AO83" s="233"/>
      <c r="AP83" s="233"/>
      <c r="AQ83" s="233"/>
      <c r="AR83" s="233"/>
      <c r="AS83" s="233"/>
      <c r="AT83" s="233"/>
      <c r="AU83" s="233"/>
      <c r="AV83" s="233"/>
      <c r="AW83" s="234"/>
      <c r="AX83" s="360"/>
      <c r="AY83" s="361"/>
      <c r="AZ83" s="224"/>
      <c r="BA83" s="224"/>
      <c r="BB83" s="224"/>
      <c r="BC83" s="224"/>
      <c r="BD83" s="13"/>
      <c r="BE83" s="297" t="s">
        <v>320</v>
      </c>
      <c r="BF83" s="297"/>
      <c r="BG83" s="297"/>
      <c r="BH83" s="172" t="s">
        <v>315</v>
      </c>
      <c r="BI83" s="228">
        <f>IF(INDEX(Таблицы!AH483:AH515,Таблицы!Y482,1)="","",INDEX(Таблицы!AH483:AH515,Таблицы!Y482,1))</f>
      </c>
      <c r="BJ83" s="228"/>
      <c r="BK83" s="172" t="s">
        <v>316</v>
      </c>
      <c r="BL83" s="228">
        <f>IF(INDEX(Таблицы!AI483:AI515,Таблицы!Y482,1)="","",INDEX(Таблицы!AI483:AI515,Таблицы!Y482,1))</f>
      </c>
      <c r="BM83" s="228"/>
      <c r="BN83" s="172" t="s">
        <v>317</v>
      </c>
      <c r="BO83" s="228">
        <f>IF(INDEX(Таблицы!AJ483:AJ515,Таблицы!Y482,1)="","",INDEX(Таблицы!AJ483:AJ515,Таблицы!Y482,1))</f>
      </c>
      <c r="BP83" s="228"/>
      <c r="BQ83" s="29"/>
    </row>
    <row r="84" spans="1:69" ht="7.5" customHeight="1">
      <c r="A84" s="19"/>
      <c r="B84" s="398" t="s">
        <v>288</v>
      </c>
      <c r="C84" s="398"/>
      <c r="D84" s="398"/>
      <c r="E84" s="398"/>
      <c r="F84" s="398"/>
      <c r="G84" s="398"/>
      <c r="H84" s="398"/>
      <c r="I84" s="398"/>
      <c r="J84" s="227"/>
      <c r="K84" s="227"/>
      <c r="L84" s="172" t="s">
        <v>286</v>
      </c>
      <c r="M84" s="172"/>
      <c r="N84" s="172"/>
      <c r="O84" s="228">
        <f>IF(INDEX(Таблицы!AI20:AI242,Таблицы!Y21,1)="","",INDEX(Таблицы!AI20:AI242,Таблицы!Y21,1))</f>
      </c>
      <c r="P84" s="228"/>
      <c r="Q84" s="172" t="s">
        <v>287</v>
      </c>
      <c r="R84" s="172"/>
      <c r="S84" s="172"/>
      <c r="T84" s="227"/>
      <c r="U84" s="227"/>
      <c r="V84" s="360"/>
      <c r="W84" s="361"/>
      <c r="X84" s="224">
        <v>9</v>
      </c>
      <c r="Y84" s="224"/>
      <c r="Z84" s="224">
        <v>10</v>
      </c>
      <c r="AA84" s="224"/>
      <c r="AB84" s="55"/>
      <c r="AC84" s="50"/>
      <c r="AD84" s="398" t="s">
        <v>288</v>
      </c>
      <c r="AE84" s="398"/>
      <c r="AF84" s="398"/>
      <c r="AG84" s="398"/>
      <c r="AH84" s="398"/>
      <c r="AI84" s="398"/>
      <c r="AJ84" s="398"/>
      <c r="AK84" s="398"/>
      <c r="AL84" s="227"/>
      <c r="AM84" s="227"/>
      <c r="AN84" s="172" t="s">
        <v>286</v>
      </c>
      <c r="AO84" s="172"/>
      <c r="AP84" s="172"/>
      <c r="AQ84" s="228">
        <f>IF(INDEX(Таблицы!AI20:AI242,Таблицы!Y22,1)="","",INDEX(Таблицы!AI20:AI242,Таблицы!Y22,1))</f>
      </c>
      <c r="AR84" s="228"/>
      <c r="AS84" s="172" t="s">
        <v>287</v>
      </c>
      <c r="AT84" s="172"/>
      <c r="AU84" s="172"/>
      <c r="AV84" s="227"/>
      <c r="AW84" s="227"/>
      <c r="AX84" s="360"/>
      <c r="AY84" s="361"/>
      <c r="AZ84" s="224">
        <v>9</v>
      </c>
      <c r="BA84" s="224"/>
      <c r="BB84" s="224">
        <v>10</v>
      </c>
      <c r="BC84" s="224"/>
      <c r="BD84" s="13"/>
      <c r="BE84" s="297"/>
      <c r="BF84" s="297"/>
      <c r="BG84" s="297"/>
      <c r="BH84" s="172"/>
      <c r="BI84" s="228"/>
      <c r="BJ84" s="228"/>
      <c r="BK84" s="172"/>
      <c r="BL84" s="228"/>
      <c r="BM84" s="228"/>
      <c r="BN84" s="172"/>
      <c r="BO84" s="228"/>
      <c r="BP84" s="228"/>
      <c r="BQ84" s="29"/>
    </row>
    <row r="85" spans="1:69" ht="7.5" customHeight="1">
      <c r="A85" s="19"/>
      <c r="B85" s="398"/>
      <c r="C85" s="398"/>
      <c r="D85" s="398"/>
      <c r="E85" s="398"/>
      <c r="F85" s="398"/>
      <c r="G85" s="398"/>
      <c r="H85" s="398"/>
      <c r="I85" s="398"/>
      <c r="J85" s="227"/>
      <c r="K85" s="227"/>
      <c r="L85" s="172"/>
      <c r="M85" s="172"/>
      <c r="N85" s="172"/>
      <c r="O85" s="228"/>
      <c r="P85" s="228"/>
      <c r="Q85" s="172"/>
      <c r="R85" s="172"/>
      <c r="S85" s="172"/>
      <c r="T85" s="227"/>
      <c r="U85" s="227"/>
      <c r="V85" s="362"/>
      <c r="W85" s="363"/>
      <c r="X85" s="224"/>
      <c r="Y85" s="224"/>
      <c r="Z85" s="224"/>
      <c r="AA85" s="224"/>
      <c r="AB85" s="55"/>
      <c r="AC85" s="50"/>
      <c r="AD85" s="398"/>
      <c r="AE85" s="398"/>
      <c r="AF85" s="398"/>
      <c r="AG85" s="398"/>
      <c r="AH85" s="398"/>
      <c r="AI85" s="398"/>
      <c r="AJ85" s="398"/>
      <c r="AK85" s="398"/>
      <c r="AL85" s="227"/>
      <c r="AM85" s="227"/>
      <c r="AN85" s="172"/>
      <c r="AO85" s="172"/>
      <c r="AP85" s="172"/>
      <c r="AQ85" s="228"/>
      <c r="AR85" s="228"/>
      <c r="AS85" s="172"/>
      <c r="AT85" s="172"/>
      <c r="AU85" s="172"/>
      <c r="AV85" s="227"/>
      <c r="AW85" s="227"/>
      <c r="AX85" s="362"/>
      <c r="AY85" s="363"/>
      <c r="AZ85" s="224"/>
      <c r="BA85" s="224"/>
      <c r="BB85" s="224"/>
      <c r="BC85" s="224"/>
      <c r="BD85" s="13"/>
      <c r="BE85" s="297"/>
      <c r="BF85" s="297"/>
      <c r="BG85" s="297"/>
      <c r="BH85" s="172" t="s">
        <v>318</v>
      </c>
      <c r="BI85" s="228">
        <f>IF(INDEX(Таблицы!AK483:AK515,Таблицы!Y482,1)="","",INDEX(Таблицы!AK483:AK515,Таблицы!Y482,1))</f>
      </c>
      <c r="BJ85" s="228"/>
      <c r="BK85" s="172" t="s">
        <v>319</v>
      </c>
      <c r="BL85" s="172"/>
      <c r="BM85" s="204">
        <f>IF(INDEX(Таблицы!AL483:AL515,Таблицы!Y482,1)="","",INDEX(Таблицы!AL483:AL515,Таблицы!Y482,1))</f>
      </c>
      <c r="BN85" s="206"/>
      <c r="BO85" s="204" t="s">
        <v>875</v>
      </c>
      <c r="BP85" s="206">
        <f>IF(INDEX(Таблицы!AM483:AM515,Таблицы!Y482,1)="","",INDEX(Таблицы!AM483:AM515,Таблицы!Y482,1))</f>
      </c>
      <c r="BQ85" s="29"/>
    </row>
    <row r="86" spans="1:69" ht="7.5" customHeight="1">
      <c r="A86" s="65"/>
      <c r="B86" s="71"/>
      <c r="C86" s="71"/>
      <c r="D86" s="71"/>
      <c r="E86" s="71"/>
      <c r="F86" s="71"/>
      <c r="G86" s="71"/>
      <c r="H86" s="71"/>
      <c r="I86" s="71"/>
      <c r="J86" s="63"/>
      <c r="K86" s="63"/>
      <c r="L86" s="64"/>
      <c r="M86" s="64"/>
      <c r="N86" s="64"/>
      <c r="O86" s="63"/>
      <c r="P86" s="63"/>
      <c r="Q86" s="64"/>
      <c r="R86" s="64"/>
      <c r="S86" s="64"/>
      <c r="T86" s="63"/>
      <c r="U86" s="63"/>
      <c r="V86" s="46"/>
      <c r="W86" s="46"/>
      <c r="X86" s="71"/>
      <c r="Y86" s="71"/>
      <c r="Z86" s="71"/>
      <c r="AA86" s="71"/>
      <c r="AB86" s="73"/>
      <c r="AC86" s="75"/>
      <c r="AD86" s="71"/>
      <c r="AE86" s="71"/>
      <c r="AF86" s="63"/>
      <c r="AG86" s="63"/>
      <c r="AH86" s="64"/>
      <c r="AI86" s="64"/>
      <c r="AJ86" s="64"/>
      <c r="AK86" s="63"/>
      <c r="AL86" s="63"/>
      <c r="AM86" s="64"/>
      <c r="AN86" s="64"/>
      <c r="AO86" s="64"/>
      <c r="AP86" s="63"/>
      <c r="AQ86" s="63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297"/>
      <c r="BF86" s="297"/>
      <c r="BG86" s="297"/>
      <c r="BH86" s="172"/>
      <c r="BI86" s="228"/>
      <c r="BJ86" s="228"/>
      <c r="BK86" s="172"/>
      <c r="BL86" s="172"/>
      <c r="BM86" s="205"/>
      <c r="BN86" s="207"/>
      <c r="BO86" s="205"/>
      <c r="BP86" s="207"/>
      <c r="BQ86" s="29"/>
    </row>
    <row r="87" spans="1:69" ht="7.5" customHeight="1" thickBot="1">
      <c r="A87" s="19"/>
      <c r="B87" s="52"/>
      <c r="C87" s="52"/>
      <c r="D87" s="52"/>
      <c r="E87" s="52"/>
      <c r="F87" s="52"/>
      <c r="G87" s="52"/>
      <c r="H87" s="52"/>
      <c r="I87" s="52"/>
      <c r="J87" s="4"/>
      <c r="K87" s="4"/>
      <c r="L87" s="48"/>
      <c r="M87" s="48"/>
      <c r="N87" s="48"/>
      <c r="O87" s="4"/>
      <c r="P87" s="4"/>
      <c r="Q87" s="48"/>
      <c r="R87" s="48"/>
      <c r="S87" s="48"/>
      <c r="T87" s="4"/>
      <c r="U87" s="4"/>
      <c r="V87" s="13"/>
      <c r="W87" s="13"/>
      <c r="X87" s="52"/>
      <c r="Y87" s="52"/>
      <c r="Z87" s="52"/>
      <c r="AA87" s="52"/>
      <c r="AB87" s="52"/>
      <c r="AC87" s="52"/>
      <c r="AD87" s="52"/>
      <c r="AE87" s="52"/>
      <c r="AF87" s="4"/>
      <c r="AG87" s="4"/>
      <c r="AH87" s="48"/>
      <c r="AI87" s="48"/>
      <c r="AJ87" s="48"/>
      <c r="AK87" s="4"/>
      <c r="AL87" s="4"/>
      <c r="AM87" s="48"/>
      <c r="AN87" s="48"/>
      <c r="AO87" s="48"/>
      <c r="AP87" s="4"/>
      <c r="AQ87" s="4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297" t="s">
        <v>876</v>
      </c>
      <c r="BF87" s="297"/>
      <c r="BG87" s="297"/>
      <c r="BH87" s="172" t="s">
        <v>315</v>
      </c>
      <c r="BI87" s="227"/>
      <c r="BJ87" s="227"/>
      <c r="BK87" s="172" t="s">
        <v>316</v>
      </c>
      <c r="BL87" s="227"/>
      <c r="BM87" s="227"/>
      <c r="BN87" s="172" t="s">
        <v>317</v>
      </c>
      <c r="BO87" s="254"/>
      <c r="BP87" s="254"/>
      <c r="BQ87" s="29"/>
    </row>
    <row r="88" spans="1:69" ht="7.5" customHeight="1">
      <c r="A88" s="19"/>
      <c r="B88" s="370" t="s">
        <v>101</v>
      </c>
      <c r="C88" s="371"/>
      <c r="D88" s="371"/>
      <c r="E88" s="371"/>
      <c r="F88" s="371"/>
      <c r="G88" s="371"/>
      <c r="H88" s="371"/>
      <c r="I88" s="371"/>
      <c r="J88" s="371"/>
      <c r="K88" s="371"/>
      <c r="L88" s="371"/>
      <c r="M88" s="371"/>
      <c r="N88" s="371"/>
      <c r="O88" s="371"/>
      <c r="P88" s="371"/>
      <c r="Q88" s="371"/>
      <c r="R88" s="371"/>
      <c r="S88" s="371"/>
      <c r="T88" s="371"/>
      <c r="U88" s="371"/>
      <c r="V88" s="371"/>
      <c r="W88" s="371"/>
      <c r="X88" s="371"/>
      <c r="Y88" s="371"/>
      <c r="Z88" s="371"/>
      <c r="AA88" s="371"/>
      <c r="AB88" s="371"/>
      <c r="AC88" s="371"/>
      <c r="AD88" s="371"/>
      <c r="AE88" s="371"/>
      <c r="AF88" s="371"/>
      <c r="AG88" s="371"/>
      <c r="AH88" s="371"/>
      <c r="AI88" s="371"/>
      <c r="AJ88" s="371"/>
      <c r="AK88" s="371"/>
      <c r="AL88" s="371"/>
      <c r="AM88" s="371"/>
      <c r="AN88" s="371"/>
      <c r="AO88" s="371"/>
      <c r="AP88" s="371"/>
      <c r="AQ88" s="371"/>
      <c r="AR88" s="371"/>
      <c r="AS88" s="371"/>
      <c r="AT88" s="371"/>
      <c r="AU88" s="371"/>
      <c r="AV88" s="371"/>
      <c r="AW88" s="371"/>
      <c r="AX88" s="371"/>
      <c r="AY88" s="371"/>
      <c r="AZ88" s="371"/>
      <c r="BA88" s="371"/>
      <c r="BB88" s="371"/>
      <c r="BC88" s="372"/>
      <c r="BD88" s="13"/>
      <c r="BE88" s="297"/>
      <c r="BF88" s="297"/>
      <c r="BG88" s="297"/>
      <c r="BH88" s="172"/>
      <c r="BI88" s="227"/>
      <c r="BJ88" s="227"/>
      <c r="BK88" s="172"/>
      <c r="BL88" s="227"/>
      <c r="BM88" s="227"/>
      <c r="BN88" s="172"/>
      <c r="BO88" s="227"/>
      <c r="BP88" s="227"/>
      <c r="BQ88" s="29"/>
    </row>
    <row r="89" spans="1:69" ht="7.5" customHeight="1" thickBot="1">
      <c r="A89" s="19"/>
      <c r="B89" s="373"/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/>
      <c r="R89" s="374"/>
      <c r="S89" s="374"/>
      <c r="T89" s="374"/>
      <c r="U89" s="374"/>
      <c r="V89" s="374"/>
      <c r="W89" s="374"/>
      <c r="X89" s="374"/>
      <c r="Y89" s="374"/>
      <c r="Z89" s="374"/>
      <c r="AA89" s="374"/>
      <c r="AB89" s="374"/>
      <c r="AC89" s="374"/>
      <c r="AD89" s="374"/>
      <c r="AE89" s="374"/>
      <c r="AF89" s="374"/>
      <c r="AG89" s="374"/>
      <c r="AH89" s="374"/>
      <c r="AI89" s="374"/>
      <c r="AJ89" s="374"/>
      <c r="AK89" s="374"/>
      <c r="AL89" s="374"/>
      <c r="AM89" s="374"/>
      <c r="AN89" s="374"/>
      <c r="AO89" s="374"/>
      <c r="AP89" s="374"/>
      <c r="AQ89" s="374"/>
      <c r="AR89" s="374"/>
      <c r="AS89" s="374"/>
      <c r="AT89" s="374"/>
      <c r="AU89" s="374"/>
      <c r="AV89" s="374"/>
      <c r="AW89" s="374"/>
      <c r="AX89" s="374"/>
      <c r="AY89" s="374"/>
      <c r="AZ89" s="374"/>
      <c r="BA89" s="374"/>
      <c r="BB89" s="374"/>
      <c r="BC89" s="375"/>
      <c r="BD89" s="13"/>
      <c r="BE89" s="297"/>
      <c r="BF89" s="297"/>
      <c r="BG89" s="297"/>
      <c r="BH89" s="172" t="s">
        <v>318</v>
      </c>
      <c r="BI89" s="227"/>
      <c r="BJ89" s="227"/>
      <c r="BK89" s="172" t="s">
        <v>319</v>
      </c>
      <c r="BL89" s="172"/>
      <c r="BM89" s="208"/>
      <c r="BN89" s="209"/>
      <c r="BO89" s="204" t="s">
        <v>875</v>
      </c>
      <c r="BP89" s="209"/>
      <c r="BQ89" s="29"/>
    </row>
    <row r="90" spans="1:69" ht="7.5" customHeight="1">
      <c r="A90" s="19"/>
      <c r="B90" s="376" t="s">
        <v>269</v>
      </c>
      <c r="C90" s="376"/>
      <c r="D90" s="376"/>
      <c r="E90" s="376"/>
      <c r="F90" s="376"/>
      <c r="G90" s="376"/>
      <c r="H90" s="376"/>
      <c r="I90" s="376"/>
      <c r="J90" s="57"/>
      <c r="K90" s="376" t="s">
        <v>296</v>
      </c>
      <c r="L90" s="376"/>
      <c r="M90" s="376"/>
      <c r="N90" s="376"/>
      <c r="O90" s="376"/>
      <c r="P90" s="376"/>
      <c r="Q90" s="282" t="s">
        <v>291</v>
      </c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  <c r="AC90" s="282"/>
      <c r="AD90" s="282"/>
      <c r="AE90" s="282"/>
      <c r="AF90" s="282"/>
      <c r="AG90" s="282"/>
      <c r="AH90" s="282"/>
      <c r="AI90" s="282"/>
      <c r="AJ90" s="282"/>
      <c r="AK90" s="283"/>
      <c r="AL90" s="13"/>
      <c r="AM90" s="376" t="s">
        <v>297</v>
      </c>
      <c r="AN90" s="376"/>
      <c r="AO90" s="376"/>
      <c r="AP90" s="396"/>
      <c r="AQ90" s="282"/>
      <c r="AR90" s="282"/>
      <c r="AS90" s="282"/>
      <c r="AT90" s="282"/>
      <c r="AU90" s="282"/>
      <c r="AV90" s="282"/>
      <c r="AW90" s="282"/>
      <c r="AX90" s="282"/>
      <c r="AY90" s="282"/>
      <c r="AZ90" s="282"/>
      <c r="BA90" s="282"/>
      <c r="BB90" s="282"/>
      <c r="BC90" s="283"/>
      <c r="BD90" s="13"/>
      <c r="BE90" s="297"/>
      <c r="BF90" s="297"/>
      <c r="BG90" s="297"/>
      <c r="BH90" s="172"/>
      <c r="BI90" s="227"/>
      <c r="BJ90" s="227"/>
      <c r="BK90" s="172"/>
      <c r="BL90" s="172"/>
      <c r="BM90" s="210"/>
      <c r="BN90" s="211"/>
      <c r="BO90" s="205"/>
      <c r="BP90" s="211"/>
      <c r="BQ90" s="29"/>
    </row>
    <row r="91" spans="1:69" ht="7.5" customHeight="1">
      <c r="A91" s="19"/>
      <c r="B91" s="377"/>
      <c r="C91" s="377"/>
      <c r="D91" s="377"/>
      <c r="E91" s="377"/>
      <c r="F91" s="377"/>
      <c r="G91" s="377"/>
      <c r="H91" s="377"/>
      <c r="I91" s="377"/>
      <c r="J91" s="57"/>
      <c r="K91" s="377"/>
      <c r="L91" s="377"/>
      <c r="M91" s="377"/>
      <c r="N91" s="377"/>
      <c r="O91" s="377"/>
      <c r="P91" s="377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83"/>
      <c r="AL91" s="51"/>
      <c r="AM91" s="377"/>
      <c r="AN91" s="377"/>
      <c r="AO91" s="377"/>
      <c r="AP91" s="396"/>
      <c r="AQ91" s="282"/>
      <c r="AR91" s="282"/>
      <c r="AS91" s="282"/>
      <c r="AT91" s="282"/>
      <c r="AU91" s="282"/>
      <c r="AV91" s="282"/>
      <c r="AW91" s="282"/>
      <c r="AX91" s="282"/>
      <c r="AY91" s="282"/>
      <c r="AZ91" s="282"/>
      <c r="BA91" s="282"/>
      <c r="BB91" s="282"/>
      <c r="BC91" s="283"/>
      <c r="BD91" s="13"/>
      <c r="BE91" s="297" t="s">
        <v>321</v>
      </c>
      <c r="BF91" s="297"/>
      <c r="BG91" s="297"/>
      <c r="BH91" s="172" t="s">
        <v>315</v>
      </c>
      <c r="BI91" s="228">
        <f>IF(BI83="","",BI83+BI87)</f>
      </c>
      <c r="BJ91" s="228"/>
      <c r="BK91" s="172" t="s">
        <v>316</v>
      </c>
      <c r="BL91" s="228">
        <f>IF(BL83="","",BL83+BL87)</f>
      </c>
      <c r="BM91" s="228"/>
      <c r="BN91" s="172" t="s">
        <v>317</v>
      </c>
      <c r="BO91" s="228">
        <f>IF(BO83="","",BO83-BO87)</f>
      </c>
      <c r="BP91" s="228"/>
      <c r="BQ91" s="29"/>
    </row>
    <row r="92" spans="1:69" ht="7.5" customHeight="1">
      <c r="A92" s="19"/>
      <c r="B92" s="377"/>
      <c r="C92" s="377"/>
      <c r="D92" s="377"/>
      <c r="E92" s="377"/>
      <c r="F92" s="377"/>
      <c r="G92" s="377"/>
      <c r="H92" s="377"/>
      <c r="I92" s="377"/>
      <c r="J92" s="57"/>
      <c r="K92" s="377"/>
      <c r="L92" s="377"/>
      <c r="M92" s="377"/>
      <c r="N92" s="377"/>
      <c r="O92" s="377"/>
      <c r="P92" s="377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5"/>
      <c r="AL92" s="51"/>
      <c r="AM92" s="377"/>
      <c r="AN92" s="377"/>
      <c r="AO92" s="377"/>
      <c r="AP92" s="397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5"/>
      <c r="BD92" s="13"/>
      <c r="BE92" s="297"/>
      <c r="BF92" s="297"/>
      <c r="BG92" s="297"/>
      <c r="BH92" s="172"/>
      <c r="BI92" s="228"/>
      <c r="BJ92" s="228"/>
      <c r="BK92" s="172"/>
      <c r="BL92" s="228"/>
      <c r="BM92" s="228"/>
      <c r="BN92" s="172"/>
      <c r="BO92" s="228"/>
      <c r="BP92" s="228"/>
      <c r="BQ92" s="29"/>
    </row>
    <row r="93" spans="1:69" ht="7.5" customHeight="1">
      <c r="A93" s="19"/>
      <c r="B93" s="172" t="s">
        <v>293</v>
      </c>
      <c r="C93" s="172"/>
      <c r="D93" s="172"/>
      <c r="E93" s="172"/>
      <c r="F93" s="172"/>
      <c r="G93" s="172"/>
      <c r="H93" s="172"/>
      <c r="I93" s="172"/>
      <c r="J93" s="49"/>
      <c r="K93" s="172" t="s">
        <v>298</v>
      </c>
      <c r="L93" s="172"/>
      <c r="M93" s="172"/>
      <c r="N93" s="228">
        <f>IF(INDEX(Таблицы!AC332:AC375,Таблицы!Y332,1)="","",INDEX(Таблицы!AC332:AC375,Таблицы!Y332,1))</f>
      </c>
      <c r="O93" s="228"/>
      <c r="P93" s="228"/>
      <c r="Q93" s="384" t="s">
        <v>103</v>
      </c>
      <c r="R93" s="384"/>
      <c r="S93" s="384"/>
      <c r="T93" s="384"/>
      <c r="U93" s="385"/>
      <c r="V93" s="383" t="s">
        <v>294</v>
      </c>
      <c r="W93" s="384"/>
      <c r="X93" s="384"/>
      <c r="Y93" s="384"/>
      <c r="Z93" s="385"/>
      <c r="AA93" s="327" t="s">
        <v>299</v>
      </c>
      <c r="AB93" s="328"/>
      <c r="AC93" s="328"/>
      <c r="AD93" s="328"/>
      <c r="AE93" s="346"/>
      <c r="AF93" s="44"/>
      <c r="AG93" s="54"/>
      <c r="AH93" s="44"/>
      <c r="AI93" s="44"/>
      <c r="AJ93" s="44"/>
      <c r="AK93" s="45"/>
      <c r="AL93" s="13"/>
      <c r="AM93" s="327" t="s">
        <v>298</v>
      </c>
      <c r="AN93" s="328"/>
      <c r="AO93" s="346"/>
      <c r="AP93" s="354">
        <f>IF(INDEX(Таблицы!AC378:AC396,Таблицы!Y378,1)="","",INDEX(Таблицы!AC378:AC396,Таблицы!Y378,1))</f>
      </c>
      <c r="AQ93" s="355"/>
      <c r="AR93" s="356"/>
      <c r="AS93" s="383" t="s">
        <v>103</v>
      </c>
      <c r="AT93" s="384"/>
      <c r="AU93" s="384"/>
      <c r="AV93" s="384"/>
      <c r="AW93" s="385"/>
      <c r="AX93" s="44"/>
      <c r="AY93" s="54"/>
      <c r="AZ93" s="44"/>
      <c r="BA93" s="44"/>
      <c r="BB93" s="44"/>
      <c r="BC93" s="45"/>
      <c r="BD93" s="13"/>
      <c r="BE93" s="297"/>
      <c r="BF93" s="297"/>
      <c r="BG93" s="297"/>
      <c r="BH93" s="172" t="s">
        <v>318</v>
      </c>
      <c r="BI93" s="228">
        <f>IF(BI85="","",BI85+BI89)</f>
      </c>
      <c r="BJ93" s="228"/>
      <c r="BK93" s="172" t="s">
        <v>319</v>
      </c>
      <c r="BL93" s="172"/>
      <c r="BM93" s="204">
        <f>IF(BM85="","",BM85+BM89)</f>
      </c>
      <c r="BN93" s="206"/>
      <c r="BO93" s="204" t="s">
        <v>875</v>
      </c>
      <c r="BP93" s="206">
        <f>IF(BP85="","",BP85+BP89)</f>
      </c>
      <c r="BQ93" s="29"/>
    </row>
    <row r="94" spans="1:69" ht="7.5" customHeight="1">
      <c r="A94" s="19"/>
      <c r="B94" s="172"/>
      <c r="C94" s="172"/>
      <c r="D94" s="172"/>
      <c r="E94" s="172"/>
      <c r="F94" s="172"/>
      <c r="G94" s="172"/>
      <c r="H94" s="172"/>
      <c r="I94" s="172"/>
      <c r="J94" s="49"/>
      <c r="K94" s="172"/>
      <c r="L94" s="172"/>
      <c r="M94" s="172"/>
      <c r="N94" s="228"/>
      <c r="O94" s="228"/>
      <c r="P94" s="228"/>
      <c r="Q94" s="330"/>
      <c r="R94" s="330"/>
      <c r="S94" s="384"/>
      <c r="T94" s="384"/>
      <c r="U94" s="385"/>
      <c r="V94" s="329"/>
      <c r="W94" s="330"/>
      <c r="X94" s="384"/>
      <c r="Y94" s="384"/>
      <c r="Z94" s="385"/>
      <c r="AA94" s="329"/>
      <c r="AB94" s="330"/>
      <c r="AC94" s="330"/>
      <c r="AD94" s="330"/>
      <c r="AE94" s="347"/>
      <c r="AF94" s="53"/>
      <c r="AG94" s="13"/>
      <c r="AH94" s="46"/>
      <c r="AI94" s="46"/>
      <c r="AJ94" s="46"/>
      <c r="AK94" s="47"/>
      <c r="AL94" s="56"/>
      <c r="AM94" s="329"/>
      <c r="AN94" s="330"/>
      <c r="AO94" s="347"/>
      <c r="AP94" s="357"/>
      <c r="AQ94" s="358"/>
      <c r="AR94" s="359"/>
      <c r="AS94" s="329"/>
      <c r="AT94" s="330"/>
      <c r="AU94" s="384"/>
      <c r="AV94" s="384"/>
      <c r="AW94" s="385"/>
      <c r="AX94" s="53"/>
      <c r="AY94" s="13"/>
      <c r="AZ94" s="46"/>
      <c r="BA94" s="46"/>
      <c r="BB94" s="46"/>
      <c r="BC94" s="47"/>
      <c r="BD94" s="13"/>
      <c r="BE94" s="297"/>
      <c r="BF94" s="297"/>
      <c r="BG94" s="297"/>
      <c r="BH94" s="172"/>
      <c r="BI94" s="228"/>
      <c r="BJ94" s="228"/>
      <c r="BK94" s="172"/>
      <c r="BL94" s="172"/>
      <c r="BM94" s="205"/>
      <c r="BN94" s="207"/>
      <c r="BO94" s="205"/>
      <c r="BP94" s="207"/>
      <c r="BQ94" s="29"/>
    </row>
    <row r="95" spans="1:69" ht="7.5" customHeight="1">
      <c r="A95" s="19"/>
      <c r="B95" s="228">
        <f>O66+IF(N93="",0,N93)</f>
        <v>5</v>
      </c>
      <c r="C95" s="228"/>
      <c r="D95" s="228"/>
      <c r="E95" s="228"/>
      <c r="F95" s="228"/>
      <c r="G95" s="228"/>
      <c r="H95" s="228"/>
      <c r="I95" s="228"/>
      <c r="J95" s="58"/>
      <c r="K95" s="378" t="s">
        <v>231</v>
      </c>
      <c r="L95" s="378"/>
      <c r="M95" s="378"/>
      <c r="N95" s="378"/>
      <c r="O95" s="378"/>
      <c r="P95" s="378"/>
      <c r="Q95" s="387">
        <f>IF(INDEX(Таблицы!AD332:AD375,Таблицы!Y332,1)="",0,INDEX(Таблицы!AD332:AD375,Таблицы!Y332,1))+INDEX(Таблицы!V2:V10,Таблицы!E1,1)+IF(AND(Таблицы!E1=8,OR(Таблицы!F28=26,Таблицы!F29=26)),5,0)</f>
        <v>0</v>
      </c>
      <c r="R95" s="369"/>
      <c r="S95" s="365">
        <f>IF(INDEX(Таблицы!AE332:AE375,Таблицы!Y332,1)&lt;Таблицы!AR344/100,0,INDEX(Таблицы!AE332:AE375,Таблицы!Y332,1)-Таблицы!AR344/100)+INDEX(Таблицы!W2:W10,Таблицы!E1,1)</f>
        <v>0</v>
      </c>
      <c r="T95" s="365"/>
      <c r="U95" s="366"/>
      <c r="V95" s="274"/>
      <c r="W95" s="386"/>
      <c r="X95" s="379"/>
      <c r="Y95" s="379"/>
      <c r="Z95" s="380"/>
      <c r="AA95" s="298">
        <f>Q95+V95</f>
        <v>0</v>
      </c>
      <c r="AB95" s="369"/>
      <c r="AC95" s="365">
        <f>IF(S95+X95&lt;0,0,S95+X95)</f>
        <v>0</v>
      </c>
      <c r="AD95" s="365"/>
      <c r="AE95" s="366"/>
      <c r="AF95" s="360" t="s">
        <v>100</v>
      </c>
      <c r="AG95" s="361"/>
      <c r="AH95" s="364">
        <v>1</v>
      </c>
      <c r="AI95" s="364"/>
      <c r="AJ95" s="364">
        <v>2</v>
      </c>
      <c r="AK95" s="364"/>
      <c r="AL95" s="13"/>
      <c r="AM95" s="378" t="s">
        <v>231</v>
      </c>
      <c r="AN95" s="378"/>
      <c r="AO95" s="378"/>
      <c r="AP95" s="378"/>
      <c r="AQ95" s="378"/>
      <c r="AR95" s="378"/>
      <c r="AS95" s="298">
        <f>IF(INDEX(Таблицы!AD378:AD396,Таблицы!Y378,1)="",0,INDEX(Таблицы!AD378:AD396,Таблицы!Y378,1))</f>
        <v>0</v>
      </c>
      <c r="AT95" s="369"/>
      <c r="AU95" s="365">
        <f>IF(INDEX(Таблицы!AE378:AE396,Таблицы!Y378,1)&lt;Таблицы!AQ390/100,0,INDEX(Таблицы!AE378:AE396,Таблицы!Y378,1)-Таблицы!AQ390/100)</f>
        <v>0</v>
      </c>
      <c r="AV95" s="365"/>
      <c r="AW95" s="366"/>
      <c r="AX95" s="360" t="s">
        <v>100</v>
      </c>
      <c r="AY95" s="361"/>
      <c r="AZ95" s="364">
        <v>1</v>
      </c>
      <c r="BA95" s="364"/>
      <c r="BB95" s="364">
        <v>2</v>
      </c>
      <c r="BC95" s="364"/>
      <c r="BD95" s="13"/>
      <c r="BE95" s="327" t="s">
        <v>327</v>
      </c>
      <c r="BF95" s="328"/>
      <c r="BG95" s="328"/>
      <c r="BH95" s="328"/>
      <c r="BI95" s="328"/>
      <c r="BJ95" s="328"/>
      <c r="BK95" s="328"/>
      <c r="BL95" s="328"/>
      <c r="BM95" s="328"/>
      <c r="BN95" s="328"/>
      <c r="BO95" s="328"/>
      <c r="BP95" s="346"/>
      <c r="BQ95" s="29"/>
    </row>
    <row r="96" spans="1:69" ht="7.5" customHeight="1">
      <c r="A96" s="19"/>
      <c r="B96" s="228"/>
      <c r="C96" s="228"/>
      <c r="D96" s="228"/>
      <c r="E96" s="228"/>
      <c r="F96" s="228"/>
      <c r="G96" s="228"/>
      <c r="H96" s="228"/>
      <c r="I96" s="228"/>
      <c r="J96" s="58"/>
      <c r="K96" s="378"/>
      <c r="L96" s="378"/>
      <c r="M96" s="378"/>
      <c r="N96" s="378"/>
      <c r="O96" s="378"/>
      <c r="P96" s="378"/>
      <c r="Q96" s="387"/>
      <c r="R96" s="369"/>
      <c r="S96" s="367"/>
      <c r="T96" s="367"/>
      <c r="U96" s="368"/>
      <c r="V96" s="274"/>
      <c r="W96" s="386"/>
      <c r="X96" s="381"/>
      <c r="Y96" s="381"/>
      <c r="Z96" s="382"/>
      <c r="AA96" s="298"/>
      <c r="AB96" s="369"/>
      <c r="AC96" s="367"/>
      <c r="AD96" s="367"/>
      <c r="AE96" s="368"/>
      <c r="AF96" s="360"/>
      <c r="AG96" s="361"/>
      <c r="AH96" s="224"/>
      <c r="AI96" s="224"/>
      <c r="AJ96" s="224"/>
      <c r="AK96" s="224"/>
      <c r="AL96" s="13"/>
      <c r="AM96" s="378"/>
      <c r="AN96" s="378"/>
      <c r="AO96" s="378"/>
      <c r="AP96" s="378"/>
      <c r="AQ96" s="378"/>
      <c r="AR96" s="378"/>
      <c r="AS96" s="298"/>
      <c r="AT96" s="369"/>
      <c r="AU96" s="367"/>
      <c r="AV96" s="367"/>
      <c r="AW96" s="368"/>
      <c r="AX96" s="360"/>
      <c r="AY96" s="361"/>
      <c r="AZ96" s="224"/>
      <c r="BA96" s="224"/>
      <c r="BB96" s="224"/>
      <c r="BC96" s="224"/>
      <c r="BD96" s="13"/>
      <c r="BE96" s="329"/>
      <c r="BF96" s="330"/>
      <c r="BG96" s="330"/>
      <c r="BH96" s="330"/>
      <c r="BI96" s="330"/>
      <c r="BJ96" s="330"/>
      <c r="BK96" s="330"/>
      <c r="BL96" s="330"/>
      <c r="BM96" s="330"/>
      <c r="BN96" s="330"/>
      <c r="BO96" s="330"/>
      <c r="BP96" s="347"/>
      <c r="BQ96" s="29"/>
    </row>
    <row r="97" spans="1:69" ht="7.5" customHeight="1">
      <c r="A97" s="19"/>
      <c r="B97" s="172" t="s">
        <v>300</v>
      </c>
      <c r="C97" s="172"/>
      <c r="D97" s="172"/>
      <c r="E97" s="172"/>
      <c r="F97" s="172"/>
      <c r="G97" s="172"/>
      <c r="H97" s="172"/>
      <c r="I97" s="172"/>
      <c r="J97" s="49"/>
      <c r="K97" s="378" t="s">
        <v>104</v>
      </c>
      <c r="L97" s="378"/>
      <c r="M97" s="378"/>
      <c r="N97" s="378"/>
      <c r="O97" s="378"/>
      <c r="P97" s="378"/>
      <c r="Q97" s="387">
        <f>IF(INDEX(Таблицы!AF332:AF375,Таблицы!Y332,1)="",0,INDEX(Таблицы!AF332:AF375,Таблицы!Y332,1))+INDEX(Таблицы!X2:X10,Таблицы!E1,1)+IF(AND(Таблицы!E1=8,OR(Таблицы!F28=26,Таблицы!F29=26)),5,0)</f>
        <v>0</v>
      </c>
      <c r="R97" s="369"/>
      <c r="S97" s="365">
        <f>IF(INDEX(Таблицы!AG332:AG375,Таблицы!Y332,1)&lt;Таблицы!AR344/100,0,INDEX(Таблицы!AG332:AG375,Таблицы!Y332,1)-Таблицы!AR344/100)+INDEX(Таблицы!Y2:Y10,Таблицы!E1,1)</f>
        <v>0</v>
      </c>
      <c r="T97" s="365"/>
      <c r="U97" s="366"/>
      <c r="V97" s="274"/>
      <c r="W97" s="386"/>
      <c r="X97" s="379"/>
      <c r="Y97" s="379"/>
      <c r="Z97" s="380"/>
      <c r="AA97" s="298">
        <f>Q97+V97</f>
        <v>0</v>
      </c>
      <c r="AB97" s="369"/>
      <c r="AC97" s="365">
        <f>IF(S97+X97&lt;0,0,S97+X97)</f>
        <v>0</v>
      </c>
      <c r="AD97" s="365"/>
      <c r="AE97" s="366"/>
      <c r="AF97" s="360"/>
      <c r="AG97" s="361"/>
      <c r="AH97" s="224">
        <v>3</v>
      </c>
      <c r="AI97" s="224"/>
      <c r="AJ97" s="224">
        <v>4</v>
      </c>
      <c r="AK97" s="224"/>
      <c r="AL97" s="13"/>
      <c r="AM97" s="378" t="s">
        <v>104</v>
      </c>
      <c r="AN97" s="378"/>
      <c r="AO97" s="378"/>
      <c r="AP97" s="378"/>
      <c r="AQ97" s="378"/>
      <c r="AR97" s="378"/>
      <c r="AS97" s="298">
        <f>IF(INDEX(Таблицы!AF378:AF396,Таблицы!Y378,1)="",0,INDEX(Таблицы!AF378:AF396,Таблицы!Y378,1))</f>
        <v>0</v>
      </c>
      <c r="AT97" s="369"/>
      <c r="AU97" s="365">
        <f>IF(INDEX(Таблицы!AG378:AG396,Таблицы!Y378,1)&lt;Таблицы!AQ390/100,0,INDEX(Таблицы!AG378:AG396,Таблицы!Y378,1)-Таблицы!AQ390/100)</f>
        <v>0</v>
      </c>
      <c r="AV97" s="365"/>
      <c r="AW97" s="366"/>
      <c r="AX97" s="360"/>
      <c r="AY97" s="361"/>
      <c r="AZ97" s="224">
        <v>3</v>
      </c>
      <c r="BA97" s="224"/>
      <c r="BB97" s="224">
        <v>4</v>
      </c>
      <c r="BC97" s="224"/>
      <c r="BD97" s="13"/>
      <c r="BE97" s="348">
        <f>IF(INDEX(Таблицы!AT483:AT515,Таблицы!Y482,1)="","",INDEX(Таблицы!AT483:AT515,Таблицы!Y482,1))</f>
      </c>
      <c r="BF97" s="349"/>
      <c r="BG97" s="349"/>
      <c r="BH97" s="349"/>
      <c r="BI97" s="349"/>
      <c r="BJ97" s="349"/>
      <c r="BK97" s="349"/>
      <c r="BL97" s="349"/>
      <c r="BM97" s="349"/>
      <c r="BN97" s="349"/>
      <c r="BO97" s="349"/>
      <c r="BP97" s="350"/>
      <c r="BQ97" s="29"/>
    </row>
    <row r="98" spans="1:69" ht="7.5" customHeight="1">
      <c r="A98" s="19"/>
      <c r="B98" s="172"/>
      <c r="C98" s="172"/>
      <c r="D98" s="172"/>
      <c r="E98" s="172"/>
      <c r="F98" s="172"/>
      <c r="G98" s="172"/>
      <c r="H98" s="172"/>
      <c r="I98" s="172"/>
      <c r="J98" s="49"/>
      <c r="K98" s="378"/>
      <c r="L98" s="378"/>
      <c r="M98" s="378"/>
      <c r="N98" s="378"/>
      <c r="O98" s="378"/>
      <c r="P98" s="378"/>
      <c r="Q98" s="387"/>
      <c r="R98" s="369"/>
      <c r="S98" s="367"/>
      <c r="T98" s="367"/>
      <c r="U98" s="368"/>
      <c r="V98" s="274"/>
      <c r="W98" s="386"/>
      <c r="X98" s="381"/>
      <c r="Y98" s="381"/>
      <c r="Z98" s="382"/>
      <c r="AA98" s="298"/>
      <c r="AB98" s="369"/>
      <c r="AC98" s="367"/>
      <c r="AD98" s="367"/>
      <c r="AE98" s="368"/>
      <c r="AF98" s="360"/>
      <c r="AG98" s="361"/>
      <c r="AH98" s="224"/>
      <c r="AI98" s="224"/>
      <c r="AJ98" s="224"/>
      <c r="AK98" s="224"/>
      <c r="AL98" s="13"/>
      <c r="AM98" s="378"/>
      <c r="AN98" s="378"/>
      <c r="AO98" s="378"/>
      <c r="AP98" s="378"/>
      <c r="AQ98" s="378"/>
      <c r="AR98" s="378"/>
      <c r="AS98" s="298"/>
      <c r="AT98" s="369"/>
      <c r="AU98" s="367"/>
      <c r="AV98" s="367"/>
      <c r="AW98" s="368"/>
      <c r="AX98" s="360"/>
      <c r="AY98" s="361"/>
      <c r="AZ98" s="224"/>
      <c r="BA98" s="224"/>
      <c r="BB98" s="224"/>
      <c r="BC98" s="224"/>
      <c r="BD98" s="13"/>
      <c r="BE98" s="351"/>
      <c r="BF98" s="352"/>
      <c r="BG98" s="352"/>
      <c r="BH98" s="352"/>
      <c r="BI98" s="352"/>
      <c r="BJ98" s="352"/>
      <c r="BK98" s="352"/>
      <c r="BL98" s="352"/>
      <c r="BM98" s="352"/>
      <c r="BN98" s="352"/>
      <c r="BO98" s="352"/>
      <c r="BP98" s="353"/>
      <c r="BQ98" s="29"/>
    </row>
    <row r="99" spans="1:69" ht="7.5" customHeight="1" thickBot="1">
      <c r="A99" s="19"/>
      <c r="B99" s="227"/>
      <c r="C99" s="227"/>
      <c r="D99" s="227"/>
      <c r="E99" s="227"/>
      <c r="F99" s="227"/>
      <c r="G99" s="227"/>
      <c r="H99" s="227"/>
      <c r="I99" s="227"/>
      <c r="J99" s="58"/>
      <c r="K99" s="378" t="s">
        <v>107</v>
      </c>
      <c r="L99" s="378"/>
      <c r="M99" s="378"/>
      <c r="N99" s="378"/>
      <c r="O99" s="378"/>
      <c r="P99" s="378"/>
      <c r="Q99" s="387">
        <f>IF(INDEX(Таблицы!AH332:AH375,Таблицы!Y332,1)="",0,INDEX(Таблицы!AH332:AH375,Таблицы!Y332,1))+INDEX(Таблицы!Z2:Z10,Таблицы!E1,1)+IF(AND(Таблицы!E1=8,OR(Таблицы!F28=26,Таблицы!F29=26)),5,0)</f>
        <v>0</v>
      </c>
      <c r="R99" s="369"/>
      <c r="S99" s="365">
        <f>IF(INDEX(Таблицы!AI332:AI375,Таблицы!Y332,1)&lt;Таблицы!AR344/100,0,INDEX(Таблицы!AI332:AI375,Таблицы!Y332,1)-Таблицы!AR344/100)+INDEX(Таблицы!AA2:AA10,Таблицы!E1,1)</f>
        <v>0</v>
      </c>
      <c r="T99" s="365"/>
      <c r="U99" s="366"/>
      <c r="V99" s="274"/>
      <c r="W99" s="386"/>
      <c r="X99" s="379"/>
      <c r="Y99" s="379"/>
      <c r="Z99" s="380"/>
      <c r="AA99" s="298">
        <f>Q99+V99</f>
        <v>0</v>
      </c>
      <c r="AB99" s="369"/>
      <c r="AC99" s="365">
        <f>IF(S99+X99&lt;0,0,S99+X99)</f>
        <v>0</v>
      </c>
      <c r="AD99" s="365"/>
      <c r="AE99" s="366"/>
      <c r="AF99" s="360"/>
      <c r="AG99" s="361"/>
      <c r="AH99" s="224">
        <v>5</v>
      </c>
      <c r="AI99" s="224"/>
      <c r="AJ99" s="224">
        <v>6</v>
      </c>
      <c r="AK99" s="224"/>
      <c r="AL99" s="13"/>
      <c r="AM99" s="378" t="s">
        <v>107</v>
      </c>
      <c r="AN99" s="378"/>
      <c r="AO99" s="378"/>
      <c r="AP99" s="378"/>
      <c r="AQ99" s="378"/>
      <c r="AR99" s="378"/>
      <c r="AS99" s="298">
        <f>IF(INDEX(Таблицы!AH378:AH396,Таблицы!Y378,1)="",0,INDEX(Таблицы!AH378:AH396,Таблицы!Y378,1))</f>
        <v>0</v>
      </c>
      <c r="AT99" s="369"/>
      <c r="AU99" s="365">
        <f>IF(INDEX(Таблицы!AI378:AI396,Таблицы!Y378,1)&lt;Таблицы!AQ390/100,0,INDEX(Таблицы!AI378:AI396,Таблицы!Y378,1)-Таблицы!AQ390/100)</f>
        <v>0</v>
      </c>
      <c r="AV99" s="365"/>
      <c r="AW99" s="366"/>
      <c r="AX99" s="360"/>
      <c r="AY99" s="361"/>
      <c r="AZ99" s="224">
        <v>5</v>
      </c>
      <c r="BA99" s="224"/>
      <c r="BB99" s="224">
        <v>6</v>
      </c>
      <c r="BC99" s="224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29"/>
    </row>
    <row r="100" spans="1:69" ht="7.5" customHeight="1">
      <c r="A100" s="19"/>
      <c r="B100" s="227"/>
      <c r="C100" s="227"/>
      <c r="D100" s="227"/>
      <c r="E100" s="227"/>
      <c r="F100" s="227"/>
      <c r="G100" s="227"/>
      <c r="H100" s="227"/>
      <c r="I100" s="227"/>
      <c r="J100" s="58"/>
      <c r="K100" s="378"/>
      <c r="L100" s="378"/>
      <c r="M100" s="378"/>
      <c r="N100" s="378"/>
      <c r="O100" s="378"/>
      <c r="P100" s="378"/>
      <c r="Q100" s="387"/>
      <c r="R100" s="369"/>
      <c r="S100" s="367"/>
      <c r="T100" s="367"/>
      <c r="U100" s="368"/>
      <c r="V100" s="274"/>
      <c r="W100" s="386"/>
      <c r="X100" s="381"/>
      <c r="Y100" s="381"/>
      <c r="Z100" s="382"/>
      <c r="AA100" s="298"/>
      <c r="AB100" s="369"/>
      <c r="AC100" s="367"/>
      <c r="AD100" s="367"/>
      <c r="AE100" s="368"/>
      <c r="AF100" s="360"/>
      <c r="AG100" s="361"/>
      <c r="AH100" s="224"/>
      <c r="AI100" s="224"/>
      <c r="AJ100" s="224"/>
      <c r="AK100" s="224"/>
      <c r="AL100" s="13"/>
      <c r="AM100" s="378"/>
      <c r="AN100" s="378"/>
      <c r="AO100" s="378"/>
      <c r="AP100" s="378"/>
      <c r="AQ100" s="378"/>
      <c r="AR100" s="378"/>
      <c r="AS100" s="298"/>
      <c r="AT100" s="369"/>
      <c r="AU100" s="367"/>
      <c r="AV100" s="367"/>
      <c r="AW100" s="368"/>
      <c r="AX100" s="360"/>
      <c r="AY100" s="361"/>
      <c r="AZ100" s="224"/>
      <c r="BA100" s="224"/>
      <c r="BB100" s="224"/>
      <c r="BC100" s="224"/>
      <c r="BD100" s="13"/>
      <c r="BE100" s="321" t="s">
        <v>1077</v>
      </c>
      <c r="BF100" s="322"/>
      <c r="BG100" s="322"/>
      <c r="BH100" s="322"/>
      <c r="BI100" s="322"/>
      <c r="BJ100" s="322"/>
      <c r="BK100" s="322"/>
      <c r="BL100" s="322"/>
      <c r="BM100" s="322"/>
      <c r="BN100" s="322"/>
      <c r="BO100" s="322"/>
      <c r="BP100" s="323"/>
      <c r="BQ100" s="29"/>
    </row>
    <row r="101" spans="1:69" ht="7.5" customHeight="1" thickBot="1">
      <c r="A101" s="59"/>
      <c r="B101" s="172" t="s">
        <v>295</v>
      </c>
      <c r="C101" s="172"/>
      <c r="D101" s="172"/>
      <c r="E101" s="172"/>
      <c r="F101" s="172"/>
      <c r="G101" s="172"/>
      <c r="H101" s="172"/>
      <c r="I101" s="172"/>
      <c r="J101" s="49"/>
      <c r="K101" s="378" t="s">
        <v>105</v>
      </c>
      <c r="L101" s="378"/>
      <c r="M101" s="378"/>
      <c r="N101" s="378"/>
      <c r="O101" s="378"/>
      <c r="P101" s="378"/>
      <c r="Q101" s="387">
        <f>IF(INDEX(Таблицы!AJ332:AJ375,Таблицы!Y332,1)="",0,INDEX(Таблицы!AJ332:AJ375,Таблицы!Y332,1))+INDEX(Таблицы!AB2:AB10,Таблицы!E1,1)+IF(AND(Таблицы!E1=8,OR(Таблицы!F28=26,Таблицы!F29=26)),5,0)</f>
        <v>0</v>
      </c>
      <c r="R101" s="369"/>
      <c r="S101" s="365">
        <f>IF(INDEX(Таблицы!AK332:AK375,Таблицы!Y332,1)&lt;Таблицы!AR344/100,0,INDEX(Таблицы!AK332:AK375,Таблицы!Y332,1)-Таблицы!AR344/100)+INDEX(Таблицы!AC2:AC10,Таблицы!E1,1)</f>
        <v>0</v>
      </c>
      <c r="T101" s="365"/>
      <c r="U101" s="366"/>
      <c r="V101" s="274"/>
      <c r="W101" s="386"/>
      <c r="X101" s="379"/>
      <c r="Y101" s="379"/>
      <c r="Z101" s="380"/>
      <c r="AA101" s="298">
        <f>Q101+V101</f>
        <v>0</v>
      </c>
      <c r="AB101" s="369"/>
      <c r="AC101" s="365">
        <f>IF(S101+X101&lt;0,0,S101+X101)</f>
        <v>0</v>
      </c>
      <c r="AD101" s="365"/>
      <c r="AE101" s="366"/>
      <c r="AF101" s="360"/>
      <c r="AG101" s="361"/>
      <c r="AH101" s="224">
        <v>7</v>
      </c>
      <c r="AI101" s="224"/>
      <c r="AJ101" s="224">
        <v>8</v>
      </c>
      <c r="AK101" s="224"/>
      <c r="AL101" s="13"/>
      <c r="AM101" s="378" t="s">
        <v>105</v>
      </c>
      <c r="AN101" s="378"/>
      <c r="AO101" s="378"/>
      <c r="AP101" s="378"/>
      <c r="AQ101" s="378"/>
      <c r="AR101" s="378"/>
      <c r="AS101" s="298">
        <f>IF(INDEX(Таблицы!AJ378:AJ396,Таблицы!Y378,1)="",0,INDEX(Таблицы!AJ378:AJ396,Таблицы!Y378,1))</f>
        <v>0</v>
      </c>
      <c r="AT101" s="369"/>
      <c r="AU101" s="365">
        <f>IF(INDEX(Таблицы!AK378:AK396,Таблицы!Y378,1)&lt;Таблицы!AQ390/100,0,INDEX(Таблицы!AK378:AK396,Таблицы!Y378,1)-Таблицы!AQ390/100)</f>
        <v>0</v>
      </c>
      <c r="AV101" s="365"/>
      <c r="AW101" s="366"/>
      <c r="AX101" s="360"/>
      <c r="AY101" s="361"/>
      <c r="AZ101" s="224">
        <v>7</v>
      </c>
      <c r="BA101" s="224"/>
      <c r="BB101" s="224">
        <v>8</v>
      </c>
      <c r="BC101" s="224"/>
      <c r="BD101" s="13"/>
      <c r="BE101" s="324"/>
      <c r="BF101" s="325"/>
      <c r="BG101" s="325"/>
      <c r="BH101" s="325"/>
      <c r="BI101" s="325"/>
      <c r="BJ101" s="325"/>
      <c r="BK101" s="325"/>
      <c r="BL101" s="325"/>
      <c r="BM101" s="325"/>
      <c r="BN101" s="325"/>
      <c r="BO101" s="325"/>
      <c r="BP101" s="326"/>
      <c r="BQ101" s="29"/>
    </row>
    <row r="102" spans="1:69" ht="7.5" customHeight="1">
      <c r="A102" s="19"/>
      <c r="B102" s="172"/>
      <c r="C102" s="172"/>
      <c r="D102" s="172"/>
      <c r="E102" s="172"/>
      <c r="F102" s="172"/>
      <c r="G102" s="172"/>
      <c r="H102" s="172"/>
      <c r="I102" s="172"/>
      <c r="J102" s="49"/>
      <c r="K102" s="378"/>
      <c r="L102" s="378"/>
      <c r="M102" s="378"/>
      <c r="N102" s="378"/>
      <c r="O102" s="378"/>
      <c r="P102" s="378"/>
      <c r="Q102" s="387"/>
      <c r="R102" s="369"/>
      <c r="S102" s="367"/>
      <c r="T102" s="367"/>
      <c r="U102" s="368"/>
      <c r="V102" s="274"/>
      <c r="W102" s="386"/>
      <c r="X102" s="381"/>
      <c r="Y102" s="381"/>
      <c r="Z102" s="382"/>
      <c r="AA102" s="298"/>
      <c r="AB102" s="369"/>
      <c r="AC102" s="367"/>
      <c r="AD102" s="367"/>
      <c r="AE102" s="368"/>
      <c r="AF102" s="360"/>
      <c r="AG102" s="361"/>
      <c r="AH102" s="224"/>
      <c r="AI102" s="224"/>
      <c r="AJ102" s="224"/>
      <c r="AK102" s="224"/>
      <c r="AL102" s="13"/>
      <c r="AM102" s="378"/>
      <c r="AN102" s="378"/>
      <c r="AO102" s="378"/>
      <c r="AP102" s="378"/>
      <c r="AQ102" s="378"/>
      <c r="AR102" s="378"/>
      <c r="AS102" s="298"/>
      <c r="AT102" s="369"/>
      <c r="AU102" s="367"/>
      <c r="AV102" s="367"/>
      <c r="AW102" s="368"/>
      <c r="AX102" s="360"/>
      <c r="AY102" s="361"/>
      <c r="AZ102" s="224"/>
      <c r="BA102" s="224"/>
      <c r="BB102" s="224"/>
      <c r="BC102" s="224"/>
      <c r="BD102" s="13"/>
      <c r="BE102" s="395"/>
      <c r="BF102" s="395"/>
      <c r="BG102" s="395"/>
      <c r="BH102" s="395"/>
      <c r="BI102" s="395"/>
      <c r="BJ102" s="395"/>
      <c r="BK102" s="395"/>
      <c r="BL102" s="395"/>
      <c r="BM102" s="395"/>
      <c r="BN102" s="395"/>
      <c r="BO102" s="395"/>
      <c r="BP102" s="395"/>
      <c r="BQ102" s="29"/>
    </row>
    <row r="103" spans="1:69" ht="7.5" customHeight="1">
      <c r="A103" s="19"/>
      <c r="B103" s="228">
        <f>B95+B99</f>
        <v>5</v>
      </c>
      <c r="C103" s="228"/>
      <c r="D103" s="228"/>
      <c r="E103" s="228"/>
      <c r="F103" s="228"/>
      <c r="G103" s="228"/>
      <c r="H103" s="228"/>
      <c r="I103" s="228"/>
      <c r="J103" s="58"/>
      <c r="K103" s="378" t="s">
        <v>106</v>
      </c>
      <c r="L103" s="378"/>
      <c r="M103" s="378"/>
      <c r="N103" s="378"/>
      <c r="O103" s="378"/>
      <c r="P103" s="378"/>
      <c r="Q103" s="387">
        <f>IF(INDEX(Таблицы!AL332:AL375,Таблицы!Y332,1)="",0,INDEX(Таблицы!AL332:AL375,Таблицы!Y332,1))+INDEX(Таблицы!AD2:AD10,Таблицы!E1,1)+IF(AND(Таблицы!E1=8,OR(Таблицы!F28=26,Таблицы!F29=26)),5,0)</f>
        <v>0</v>
      </c>
      <c r="R103" s="369"/>
      <c r="S103" s="365">
        <f>IF(INDEX(Таблицы!AM332:AM375,Таблицы!Y332,1)&lt;Таблицы!AR344/100,0,INDEX(Таблицы!AM332:AM375,Таблицы!Y332,1)-Таблицы!AR344/100)+INDEX(Таблицы!AE2:AE10,Таблицы!E1,1)</f>
        <v>0</v>
      </c>
      <c r="T103" s="365"/>
      <c r="U103" s="366"/>
      <c r="V103" s="274"/>
      <c r="W103" s="386"/>
      <c r="X103" s="379"/>
      <c r="Y103" s="379"/>
      <c r="Z103" s="380"/>
      <c r="AA103" s="298">
        <f>Q103+V103</f>
        <v>0</v>
      </c>
      <c r="AB103" s="369"/>
      <c r="AC103" s="365">
        <f>IF(S103+X103&lt;0,0,S103+X103)</f>
        <v>0</v>
      </c>
      <c r="AD103" s="365"/>
      <c r="AE103" s="366"/>
      <c r="AF103" s="360"/>
      <c r="AG103" s="361"/>
      <c r="AH103" s="224">
        <v>9</v>
      </c>
      <c r="AI103" s="224"/>
      <c r="AJ103" s="224">
        <v>10</v>
      </c>
      <c r="AK103" s="224"/>
      <c r="AL103" s="13"/>
      <c r="AM103" s="378" t="s">
        <v>106</v>
      </c>
      <c r="AN103" s="378"/>
      <c r="AO103" s="378"/>
      <c r="AP103" s="378"/>
      <c r="AQ103" s="378"/>
      <c r="AR103" s="378"/>
      <c r="AS103" s="298" t="s">
        <v>285</v>
      </c>
      <c r="AT103" s="369"/>
      <c r="AU103" s="365" t="s">
        <v>285</v>
      </c>
      <c r="AV103" s="365"/>
      <c r="AW103" s="366"/>
      <c r="AX103" s="360"/>
      <c r="AY103" s="361"/>
      <c r="AZ103" s="224">
        <v>9</v>
      </c>
      <c r="BA103" s="224"/>
      <c r="BB103" s="224">
        <v>10</v>
      </c>
      <c r="BC103" s="224"/>
      <c r="BD103" s="13"/>
      <c r="BE103" s="261"/>
      <c r="BF103" s="261"/>
      <c r="BG103" s="261"/>
      <c r="BH103" s="261"/>
      <c r="BI103" s="261"/>
      <c r="BJ103" s="261"/>
      <c r="BK103" s="261"/>
      <c r="BL103" s="261"/>
      <c r="BM103" s="261"/>
      <c r="BN103" s="261"/>
      <c r="BO103" s="261"/>
      <c r="BP103" s="261"/>
      <c r="BQ103" s="29"/>
    </row>
    <row r="104" spans="1:69" ht="7.5" customHeight="1">
      <c r="A104" s="19"/>
      <c r="B104" s="228"/>
      <c r="C104" s="228"/>
      <c r="D104" s="228"/>
      <c r="E104" s="228"/>
      <c r="F104" s="228"/>
      <c r="G104" s="228"/>
      <c r="H104" s="228"/>
      <c r="I104" s="228"/>
      <c r="J104" s="26"/>
      <c r="K104" s="378"/>
      <c r="L104" s="378"/>
      <c r="M104" s="378"/>
      <c r="N104" s="378"/>
      <c r="O104" s="378"/>
      <c r="P104" s="378"/>
      <c r="Q104" s="387"/>
      <c r="R104" s="369"/>
      <c r="S104" s="367"/>
      <c r="T104" s="367"/>
      <c r="U104" s="368"/>
      <c r="V104" s="274"/>
      <c r="W104" s="386"/>
      <c r="X104" s="381"/>
      <c r="Y104" s="381"/>
      <c r="Z104" s="382"/>
      <c r="AA104" s="298"/>
      <c r="AB104" s="369"/>
      <c r="AC104" s="367"/>
      <c r="AD104" s="367"/>
      <c r="AE104" s="368"/>
      <c r="AF104" s="362"/>
      <c r="AG104" s="363"/>
      <c r="AH104" s="224"/>
      <c r="AI104" s="224"/>
      <c r="AJ104" s="224"/>
      <c r="AK104" s="224"/>
      <c r="AL104" s="13"/>
      <c r="AM104" s="378"/>
      <c r="AN104" s="378"/>
      <c r="AO104" s="378"/>
      <c r="AP104" s="378"/>
      <c r="AQ104" s="378"/>
      <c r="AR104" s="378"/>
      <c r="AS104" s="298"/>
      <c r="AT104" s="369"/>
      <c r="AU104" s="367"/>
      <c r="AV104" s="367"/>
      <c r="AW104" s="368"/>
      <c r="AX104" s="362"/>
      <c r="AY104" s="363"/>
      <c r="AZ104" s="224"/>
      <c r="BA104" s="224"/>
      <c r="BB104" s="224"/>
      <c r="BC104" s="224"/>
      <c r="BD104" s="13"/>
      <c r="BE104" s="261"/>
      <c r="BF104" s="261"/>
      <c r="BG104" s="261"/>
      <c r="BH104" s="261"/>
      <c r="BI104" s="261"/>
      <c r="BJ104" s="261"/>
      <c r="BK104" s="261"/>
      <c r="BL104" s="261"/>
      <c r="BM104" s="261"/>
      <c r="BN104" s="261"/>
      <c r="BO104" s="261"/>
      <c r="BP104" s="261"/>
      <c r="BQ104" s="29"/>
    </row>
    <row r="105" spans="1:69" ht="7.5" customHeight="1">
      <c r="A105" s="65"/>
      <c r="B105" s="46"/>
      <c r="C105" s="46"/>
      <c r="D105" s="46"/>
      <c r="E105" s="46"/>
      <c r="F105" s="68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261"/>
      <c r="BF105" s="261"/>
      <c r="BG105" s="261"/>
      <c r="BH105" s="261"/>
      <c r="BI105" s="261"/>
      <c r="BJ105" s="261"/>
      <c r="BK105" s="261"/>
      <c r="BL105" s="261"/>
      <c r="BM105" s="261"/>
      <c r="BN105" s="261"/>
      <c r="BO105" s="261"/>
      <c r="BP105" s="261"/>
      <c r="BQ105" s="29"/>
    </row>
    <row r="106" spans="1:69" ht="7.5" customHeight="1" thickBot="1">
      <c r="A106" s="19"/>
      <c r="B106" s="13"/>
      <c r="C106" s="13"/>
      <c r="D106" s="13"/>
      <c r="E106" s="13"/>
      <c r="F106" s="35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261"/>
      <c r="BF106" s="261"/>
      <c r="BG106" s="261"/>
      <c r="BH106" s="261"/>
      <c r="BI106" s="261"/>
      <c r="BJ106" s="261"/>
      <c r="BK106" s="261"/>
      <c r="BL106" s="261"/>
      <c r="BM106" s="261"/>
      <c r="BN106" s="261"/>
      <c r="BO106" s="261"/>
      <c r="BP106" s="261"/>
      <c r="BQ106" s="29"/>
    </row>
    <row r="107" spans="1:69" ht="7.5" customHeight="1">
      <c r="A107" s="19"/>
      <c r="B107" s="370" t="s">
        <v>301</v>
      </c>
      <c r="C107" s="371"/>
      <c r="D107" s="371"/>
      <c r="E107" s="371"/>
      <c r="F107" s="371"/>
      <c r="G107" s="371"/>
      <c r="H107" s="371"/>
      <c r="I107" s="371"/>
      <c r="J107" s="371"/>
      <c r="K107" s="371"/>
      <c r="L107" s="371"/>
      <c r="M107" s="371"/>
      <c r="N107" s="371"/>
      <c r="O107" s="371"/>
      <c r="P107" s="371"/>
      <c r="Q107" s="371"/>
      <c r="R107" s="371"/>
      <c r="S107" s="371"/>
      <c r="T107" s="371"/>
      <c r="U107" s="371"/>
      <c r="V107" s="371"/>
      <c r="W107" s="371"/>
      <c r="X107" s="371"/>
      <c r="Y107" s="371"/>
      <c r="Z107" s="371"/>
      <c r="AA107" s="371"/>
      <c r="AB107" s="371"/>
      <c r="AC107" s="371"/>
      <c r="AD107" s="371"/>
      <c r="AE107" s="371"/>
      <c r="AF107" s="371"/>
      <c r="AG107" s="371"/>
      <c r="AH107" s="371"/>
      <c r="AI107" s="371"/>
      <c r="AJ107" s="371"/>
      <c r="AK107" s="371"/>
      <c r="AL107" s="371"/>
      <c r="AM107" s="371"/>
      <c r="AN107" s="371"/>
      <c r="AO107" s="371"/>
      <c r="AP107" s="371"/>
      <c r="AQ107" s="371"/>
      <c r="AR107" s="371"/>
      <c r="AS107" s="371"/>
      <c r="AT107" s="371"/>
      <c r="AU107" s="371"/>
      <c r="AV107" s="371"/>
      <c r="AW107" s="371"/>
      <c r="AX107" s="371"/>
      <c r="AY107" s="371"/>
      <c r="AZ107" s="371"/>
      <c r="BA107" s="371"/>
      <c r="BB107" s="371"/>
      <c r="BC107" s="372"/>
      <c r="BD107" s="13"/>
      <c r="BE107" s="261"/>
      <c r="BF107" s="261"/>
      <c r="BG107" s="261"/>
      <c r="BH107" s="261"/>
      <c r="BI107" s="261"/>
      <c r="BJ107" s="261"/>
      <c r="BK107" s="261"/>
      <c r="BL107" s="261"/>
      <c r="BM107" s="261"/>
      <c r="BN107" s="261"/>
      <c r="BO107" s="261"/>
      <c r="BP107" s="261"/>
      <c r="BQ107" s="29"/>
    </row>
    <row r="108" spans="1:69" ht="7.5" customHeight="1">
      <c r="A108" s="19"/>
      <c r="B108" s="392"/>
      <c r="C108" s="393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3"/>
      <c r="V108" s="393"/>
      <c r="W108" s="393"/>
      <c r="X108" s="393"/>
      <c r="Y108" s="393"/>
      <c r="Z108" s="393"/>
      <c r="AA108" s="393"/>
      <c r="AB108" s="393"/>
      <c r="AC108" s="393"/>
      <c r="AD108" s="393"/>
      <c r="AE108" s="393"/>
      <c r="AF108" s="393"/>
      <c r="AG108" s="393"/>
      <c r="AH108" s="393"/>
      <c r="AI108" s="393"/>
      <c r="AJ108" s="393"/>
      <c r="AK108" s="393"/>
      <c r="AL108" s="393"/>
      <c r="AM108" s="393"/>
      <c r="AN108" s="393"/>
      <c r="AO108" s="393"/>
      <c r="AP108" s="393"/>
      <c r="AQ108" s="393"/>
      <c r="AR108" s="393"/>
      <c r="AS108" s="393"/>
      <c r="AT108" s="393"/>
      <c r="AU108" s="393"/>
      <c r="AV108" s="393"/>
      <c r="AW108" s="393"/>
      <c r="AX108" s="393"/>
      <c r="AY108" s="393"/>
      <c r="AZ108" s="393"/>
      <c r="BA108" s="393"/>
      <c r="BB108" s="393"/>
      <c r="BC108" s="394"/>
      <c r="BD108" s="13"/>
      <c r="BE108" s="261"/>
      <c r="BF108" s="261"/>
      <c r="BG108" s="261"/>
      <c r="BH108" s="261"/>
      <c r="BI108" s="261"/>
      <c r="BJ108" s="261"/>
      <c r="BK108" s="261"/>
      <c r="BL108" s="261"/>
      <c r="BM108" s="261"/>
      <c r="BN108" s="261"/>
      <c r="BO108" s="261"/>
      <c r="BP108" s="261"/>
      <c r="BQ108" s="29"/>
    </row>
    <row r="109" spans="1:69" ht="7.5" customHeight="1">
      <c r="A109" s="19"/>
      <c r="B109" s="336" t="s">
        <v>303</v>
      </c>
      <c r="C109" s="334" t="s">
        <v>304</v>
      </c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88" t="s">
        <v>98</v>
      </c>
      <c r="R109" s="388"/>
      <c r="S109" s="388"/>
      <c r="T109" s="388" t="s">
        <v>229</v>
      </c>
      <c r="U109" s="388"/>
      <c r="V109" s="388"/>
      <c r="W109" s="388" t="s">
        <v>302</v>
      </c>
      <c r="X109" s="388"/>
      <c r="Y109" s="388"/>
      <c r="Z109" s="388" t="s">
        <v>70</v>
      </c>
      <c r="AA109" s="388"/>
      <c r="AB109" s="388"/>
      <c r="AC109" s="334" t="s">
        <v>303</v>
      </c>
      <c r="AD109" s="334" t="s">
        <v>304</v>
      </c>
      <c r="AE109" s="334"/>
      <c r="AF109" s="334"/>
      <c r="AG109" s="334"/>
      <c r="AH109" s="334"/>
      <c r="AI109" s="334"/>
      <c r="AJ109" s="334"/>
      <c r="AK109" s="334"/>
      <c r="AL109" s="334"/>
      <c r="AM109" s="334"/>
      <c r="AN109" s="334"/>
      <c r="AO109" s="334"/>
      <c r="AP109" s="334"/>
      <c r="AQ109" s="334"/>
      <c r="AR109" s="388" t="s">
        <v>98</v>
      </c>
      <c r="AS109" s="388"/>
      <c r="AT109" s="388"/>
      <c r="AU109" s="388" t="s">
        <v>229</v>
      </c>
      <c r="AV109" s="388"/>
      <c r="AW109" s="388"/>
      <c r="AX109" s="388" t="s">
        <v>302</v>
      </c>
      <c r="AY109" s="388"/>
      <c r="AZ109" s="388"/>
      <c r="BA109" s="388" t="s">
        <v>70</v>
      </c>
      <c r="BB109" s="388"/>
      <c r="BC109" s="390"/>
      <c r="BD109" s="13"/>
      <c r="BE109" s="261"/>
      <c r="BF109" s="261"/>
      <c r="BG109" s="261"/>
      <c r="BH109" s="261"/>
      <c r="BI109" s="261"/>
      <c r="BJ109" s="261"/>
      <c r="BK109" s="261"/>
      <c r="BL109" s="261"/>
      <c r="BM109" s="261"/>
      <c r="BN109" s="261"/>
      <c r="BO109" s="261"/>
      <c r="BP109" s="261"/>
      <c r="BQ109" s="29"/>
    </row>
    <row r="110" spans="1:69" ht="7.5" customHeight="1" thickBot="1">
      <c r="A110" s="19"/>
      <c r="B110" s="337"/>
      <c r="C110" s="335"/>
      <c r="D110" s="335"/>
      <c r="E110" s="335"/>
      <c r="F110" s="335"/>
      <c r="G110" s="335"/>
      <c r="H110" s="335"/>
      <c r="I110" s="335"/>
      <c r="J110" s="335"/>
      <c r="K110" s="335"/>
      <c r="L110" s="335"/>
      <c r="M110" s="335"/>
      <c r="N110" s="335"/>
      <c r="O110" s="335"/>
      <c r="P110" s="335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35"/>
      <c r="AD110" s="335"/>
      <c r="AE110" s="335"/>
      <c r="AF110" s="335"/>
      <c r="AG110" s="335"/>
      <c r="AH110" s="335"/>
      <c r="AI110" s="335"/>
      <c r="AJ110" s="335"/>
      <c r="AK110" s="335"/>
      <c r="AL110" s="335"/>
      <c r="AM110" s="335"/>
      <c r="AN110" s="335"/>
      <c r="AO110" s="335"/>
      <c r="AP110" s="335"/>
      <c r="AQ110" s="335"/>
      <c r="AR110" s="389"/>
      <c r="AS110" s="389"/>
      <c r="AT110" s="389"/>
      <c r="AU110" s="389"/>
      <c r="AV110" s="389"/>
      <c r="AW110" s="389"/>
      <c r="AX110" s="389"/>
      <c r="AY110" s="389"/>
      <c r="AZ110" s="389"/>
      <c r="BA110" s="389"/>
      <c r="BB110" s="389"/>
      <c r="BC110" s="391"/>
      <c r="BD110" s="13"/>
      <c r="BE110" s="261"/>
      <c r="BF110" s="261"/>
      <c r="BG110" s="261"/>
      <c r="BH110" s="261"/>
      <c r="BI110" s="261"/>
      <c r="BJ110" s="261"/>
      <c r="BK110" s="261"/>
      <c r="BL110" s="261"/>
      <c r="BM110" s="261"/>
      <c r="BN110" s="261"/>
      <c r="BO110" s="261"/>
      <c r="BP110" s="261"/>
      <c r="BQ110" s="29"/>
    </row>
    <row r="111" spans="1:69" ht="7.5" customHeight="1">
      <c r="A111" s="19"/>
      <c r="B111" s="308">
        <v>1</v>
      </c>
      <c r="C111" s="499"/>
      <c r="D111" s="499"/>
      <c r="E111" s="499"/>
      <c r="F111" s="499"/>
      <c r="G111" s="499"/>
      <c r="H111" s="499"/>
      <c r="I111" s="499"/>
      <c r="J111" s="499"/>
      <c r="K111" s="499"/>
      <c r="L111" s="499"/>
      <c r="M111" s="499"/>
      <c r="N111" s="499"/>
      <c r="O111" s="499"/>
      <c r="P111" s="499"/>
      <c r="Q111" s="500"/>
      <c r="R111" s="500"/>
      <c r="S111" s="500"/>
      <c r="T111" s="299">
        <f>IF(INDEX(Таблицы!AA398:AA462,Таблицы!Y398,1)="",0,INDEX(Таблицы!AA398:AA462,Таблицы!Y398,1))</f>
        <v>0</v>
      </c>
      <c r="U111" s="299"/>
      <c r="V111" s="299"/>
      <c r="W111" s="299">
        <f>IF(AK39&lt;30,T111*3,IF(AK39&lt;126,T111*2+T111*(100-AK39)/100,T111*(AK39-100)/100))</f>
        <v>0</v>
      </c>
      <c r="X111" s="299"/>
      <c r="Y111" s="299"/>
      <c r="Z111" s="299">
        <f>IF(INDEX(Таблицы!AB398:AB462,Таблицы!Y398,1)="",0,INDEX(Таблицы!AB398:AB462,Таблицы!Y398,1))*Q111</f>
        <v>0</v>
      </c>
      <c r="AA111" s="299"/>
      <c r="AB111" s="299"/>
      <c r="AC111" s="307">
        <v>8</v>
      </c>
      <c r="AD111" s="309"/>
      <c r="AE111" s="310"/>
      <c r="AF111" s="310"/>
      <c r="AG111" s="310"/>
      <c r="AH111" s="310"/>
      <c r="AI111" s="310"/>
      <c r="AJ111" s="310"/>
      <c r="AK111" s="310"/>
      <c r="AL111" s="310"/>
      <c r="AM111" s="310"/>
      <c r="AN111" s="310"/>
      <c r="AO111" s="310"/>
      <c r="AP111" s="310"/>
      <c r="AQ111" s="311"/>
      <c r="AR111" s="315"/>
      <c r="AS111" s="316"/>
      <c r="AT111" s="317"/>
      <c r="AU111" s="299">
        <f>IF(INDEX(Таблицы!AA398:AA462,Таблицы!Y405,1)="",0,INDEX(Таблицы!AA398:AA462,Таблицы!Y405,1))</f>
        <v>0</v>
      </c>
      <c r="AV111" s="299"/>
      <c r="AW111" s="299"/>
      <c r="AX111" s="301">
        <f>IF(BL39&lt;30,AU111*3,IF(BL39&lt;126,AU111*2+AU111*(100-BL39)/100,AU111*(BL39-100)/100))</f>
        <v>0</v>
      </c>
      <c r="AY111" s="302"/>
      <c r="AZ111" s="303"/>
      <c r="BA111" s="299">
        <f>IF(INDEX(Таблицы!AB398:AB462,Таблицы!Y405,1)="",0,INDEX(Таблицы!AB398:AB462,Таблицы!Y405,1))*AR111</f>
        <v>0</v>
      </c>
      <c r="BB111" s="299"/>
      <c r="BC111" s="299"/>
      <c r="BD111" s="13"/>
      <c r="BE111" s="261"/>
      <c r="BF111" s="261"/>
      <c r="BG111" s="261"/>
      <c r="BH111" s="261"/>
      <c r="BI111" s="261"/>
      <c r="BJ111" s="261"/>
      <c r="BK111" s="261"/>
      <c r="BL111" s="261"/>
      <c r="BM111" s="261"/>
      <c r="BN111" s="261"/>
      <c r="BO111" s="261"/>
      <c r="BP111" s="261"/>
      <c r="BQ111" s="29"/>
    </row>
    <row r="112" spans="1:69" ht="7.5" customHeight="1">
      <c r="A112" s="19"/>
      <c r="B112" s="332"/>
      <c r="C112" s="333"/>
      <c r="D112" s="333"/>
      <c r="E112" s="333"/>
      <c r="F112" s="333"/>
      <c r="G112" s="333"/>
      <c r="H112" s="333"/>
      <c r="I112" s="333"/>
      <c r="J112" s="333"/>
      <c r="K112" s="333"/>
      <c r="L112" s="333"/>
      <c r="M112" s="333"/>
      <c r="N112" s="333"/>
      <c r="O112" s="333"/>
      <c r="P112" s="333"/>
      <c r="Q112" s="331"/>
      <c r="R112" s="331"/>
      <c r="S112" s="331"/>
      <c r="T112" s="300"/>
      <c r="U112" s="300"/>
      <c r="V112" s="300"/>
      <c r="W112" s="300"/>
      <c r="X112" s="300"/>
      <c r="Y112" s="300"/>
      <c r="Z112" s="300"/>
      <c r="AA112" s="300"/>
      <c r="AB112" s="300"/>
      <c r="AC112" s="307"/>
      <c r="AD112" s="309"/>
      <c r="AE112" s="310"/>
      <c r="AF112" s="310"/>
      <c r="AG112" s="310"/>
      <c r="AH112" s="310"/>
      <c r="AI112" s="310"/>
      <c r="AJ112" s="310"/>
      <c r="AK112" s="310"/>
      <c r="AL112" s="310"/>
      <c r="AM112" s="310"/>
      <c r="AN112" s="310"/>
      <c r="AO112" s="310"/>
      <c r="AP112" s="310"/>
      <c r="AQ112" s="311"/>
      <c r="AR112" s="315"/>
      <c r="AS112" s="316"/>
      <c r="AT112" s="317"/>
      <c r="AU112" s="300"/>
      <c r="AV112" s="300"/>
      <c r="AW112" s="300"/>
      <c r="AX112" s="301"/>
      <c r="AY112" s="302"/>
      <c r="AZ112" s="303"/>
      <c r="BA112" s="300"/>
      <c r="BB112" s="300"/>
      <c r="BC112" s="300"/>
      <c r="BD112" s="13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29"/>
    </row>
    <row r="113" spans="1:69" ht="7.5" customHeight="1" thickBot="1">
      <c r="A113" s="19"/>
      <c r="B113" s="332"/>
      <c r="C113" s="333"/>
      <c r="D113" s="333"/>
      <c r="E113" s="333"/>
      <c r="F113" s="333"/>
      <c r="G113" s="333"/>
      <c r="H113" s="333"/>
      <c r="I113" s="333"/>
      <c r="J113" s="333"/>
      <c r="K113" s="333"/>
      <c r="L113" s="333"/>
      <c r="M113" s="333"/>
      <c r="N113" s="333"/>
      <c r="O113" s="333"/>
      <c r="P113" s="333"/>
      <c r="Q113" s="331"/>
      <c r="R113" s="331"/>
      <c r="S113" s="331"/>
      <c r="T113" s="300"/>
      <c r="U113" s="300"/>
      <c r="V113" s="300"/>
      <c r="W113" s="300"/>
      <c r="X113" s="300"/>
      <c r="Y113" s="300"/>
      <c r="Z113" s="300"/>
      <c r="AA113" s="300"/>
      <c r="AB113" s="300"/>
      <c r="AC113" s="308"/>
      <c r="AD113" s="312"/>
      <c r="AE113" s="313"/>
      <c r="AF113" s="313"/>
      <c r="AG113" s="313"/>
      <c r="AH113" s="313"/>
      <c r="AI113" s="313"/>
      <c r="AJ113" s="313"/>
      <c r="AK113" s="313"/>
      <c r="AL113" s="313"/>
      <c r="AM113" s="313"/>
      <c r="AN113" s="313"/>
      <c r="AO113" s="313"/>
      <c r="AP113" s="313"/>
      <c r="AQ113" s="314"/>
      <c r="AR113" s="318"/>
      <c r="AS113" s="319"/>
      <c r="AT113" s="320"/>
      <c r="AU113" s="300"/>
      <c r="AV113" s="300"/>
      <c r="AW113" s="300"/>
      <c r="AX113" s="304"/>
      <c r="AY113" s="305"/>
      <c r="AZ113" s="306"/>
      <c r="BA113" s="300"/>
      <c r="BB113" s="300"/>
      <c r="BC113" s="300"/>
      <c r="BD113" s="13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29"/>
    </row>
    <row r="114" spans="1:69" ht="7.5" customHeight="1">
      <c r="A114" s="19"/>
      <c r="B114" s="332">
        <v>2</v>
      </c>
      <c r="C114" s="333"/>
      <c r="D114" s="333"/>
      <c r="E114" s="333"/>
      <c r="F114" s="333"/>
      <c r="G114" s="333"/>
      <c r="H114" s="333"/>
      <c r="I114" s="333"/>
      <c r="J114" s="333"/>
      <c r="K114" s="333"/>
      <c r="L114" s="333"/>
      <c r="M114" s="333"/>
      <c r="N114" s="333"/>
      <c r="O114" s="333"/>
      <c r="P114" s="333"/>
      <c r="Q114" s="331"/>
      <c r="R114" s="331"/>
      <c r="S114" s="331"/>
      <c r="T114" s="299">
        <f>IF(INDEX(Таблицы!AA398:AA462,Таблицы!Y399,1)="",0,INDEX(Таблицы!AA398:AA462,Таблицы!Y399,1))</f>
        <v>0</v>
      </c>
      <c r="U114" s="299"/>
      <c r="V114" s="299"/>
      <c r="W114" s="300">
        <f>IF(AK39&lt;30,T114*3,IF(AK39&lt;126,T114*2+T114*(100-AK39)/100,T114*(AK39-100)/100))</f>
        <v>0</v>
      </c>
      <c r="X114" s="300"/>
      <c r="Y114" s="300"/>
      <c r="Z114" s="299">
        <f>IF(INDEX(Таблицы!AB398:AB462,Таблицы!Y399,1)="",0,INDEX(Таблицы!AB398:AB462,Таблицы!Y399,1))*Q114</f>
        <v>0</v>
      </c>
      <c r="AA114" s="299"/>
      <c r="AB114" s="299"/>
      <c r="AC114" s="273">
        <v>9</v>
      </c>
      <c r="AD114" s="272"/>
      <c r="AE114" s="272"/>
      <c r="AF114" s="272"/>
      <c r="AG114" s="272"/>
      <c r="AH114" s="272"/>
      <c r="AI114" s="272"/>
      <c r="AJ114" s="272"/>
      <c r="AK114" s="272"/>
      <c r="AL114" s="272"/>
      <c r="AM114" s="272"/>
      <c r="AN114" s="272"/>
      <c r="AO114" s="272"/>
      <c r="AP114" s="272"/>
      <c r="AQ114" s="272"/>
      <c r="AR114" s="274"/>
      <c r="AS114" s="274"/>
      <c r="AT114" s="274"/>
      <c r="AU114" s="274"/>
      <c r="AV114" s="274"/>
      <c r="AW114" s="274"/>
      <c r="AX114" s="298">
        <f>IF(BL39&lt;30,AU114*3,IF(BL39&lt;126,AU114*2+AU114*(100-BL39)/100,AU114*(BL39-100)/100))</f>
        <v>0</v>
      </c>
      <c r="AY114" s="298"/>
      <c r="AZ114" s="298"/>
      <c r="BA114" s="274"/>
      <c r="BB114" s="274"/>
      <c r="BC114" s="274"/>
      <c r="BD114" s="13"/>
      <c r="BE114" s="321" t="s">
        <v>326</v>
      </c>
      <c r="BF114" s="322"/>
      <c r="BG114" s="322"/>
      <c r="BH114" s="322"/>
      <c r="BI114" s="322"/>
      <c r="BJ114" s="322"/>
      <c r="BK114" s="322"/>
      <c r="BL114" s="322"/>
      <c r="BM114" s="322"/>
      <c r="BN114" s="322"/>
      <c r="BO114" s="322"/>
      <c r="BP114" s="323"/>
      <c r="BQ114" s="29"/>
    </row>
    <row r="115" spans="1:69" ht="7.5" customHeight="1" thickBot="1">
      <c r="A115" s="19"/>
      <c r="B115" s="332"/>
      <c r="C115" s="333"/>
      <c r="D115" s="333"/>
      <c r="E115" s="333"/>
      <c r="F115" s="333"/>
      <c r="G115" s="333"/>
      <c r="H115" s="333"/>
      <c r="I115" s="333"/>
      <c r="J115" s="333"/>
      <c r="K115" s="333"/>
      <c r="L115" s="333"/>
      <c r="M115" s="333"/>
      <c r="N115" s="333"/>
      <c r="O115" s="333"/>
      <c r="P115" s="333"/>
      <c r="Q115" s="331"/>
      <c r="R115" s="331"/>
      <c r="S115" s="331"/>
      <c r="T115" s="300"/>
      <c r="U115" s="300"/>
      <c r="V115" s="300"/>
      <c r="W115" s="300"/>
      <c r="X115" s="300"/>
      <c r="Y115" s="300"/>
      <c r="Z115" s="300"/>
      <c r="AA115" s="300"/>
      <c r="AB115" s="300"/>
      <c r="AC115" s="273"/>
      <c r="AD115" s="272"/>
      <c r="AE115" s="272"/>
      <c r="AF115" s="272"/>
      <c r="AG115" s="272"/>
      <c r="AH115" s="272"/>
      <c r="AI115" s="272"/>
      <c r="AJ115" s="272"/>
      <c r="AK115" s="272"/>
      <c r="AL115" s="272"/>
      <c r="AM115" s="272"/>
      <c r="AN115" s="272"/>
      <c r="AO115" s="272"/>
      <c r="AP115" s="272"/>
      <c r="AQ115" s="272"/>
      <c r="AR115" s="274"/>
      <c r="AS115" s="274"/>
      <c r="AT115" s="274"/>
      <c r="AU115" s="274"/>
      <c r="AV115" s="274"/>
      <c r="AW115" s="274"/>
      <c r="AX115" s="298"/>
      <c r="AY115" s="298"/>
      <c r="AZ115" s="298"/>
      <c r="BA115" s="274"/>
      <c r="BB115" s="274"/>
      <c r="BC115" s="274"/>
      <c r="BD115" s="13"/>
      <c r="BE115" s="324"/>
      <c r="BF115" s="325"/>
      <c r="BG115" s="325"/>
      <c r="BH115" s="325"/>
      <c r="BI115" s="325"/>
      <c r="BJ115" s="325"/>
      <c r="BK115" s="325"/>
      <c r="BL115" s="325"/>
      <c r="BM115" s="325"/>
      <c r="BN115" s="325"/>
      <c r="BO115" s="325"/>
      <c r="BP115" s="326"/>
      <c r="BQ115" s="29"/>
    </row>
    <row r="116" spans="1:69" ht="7.5" customHeight="1">
      <c r="A116" s="19"/>
      <c r="B116" s="332"/>
      <c r="C116" s="333"/>
      <c r="D116" s="333"/>
      <c r="E116" s="333"/>
      <c r="F116" s="333"/>
      <c r="G116" s="333"/>
      <c r="H116" s="333"/>
      <c r="I116" s="333"/>
      <c r="J116" s="333"/>
      <c r="K116" s="333"/>
      <c r="L116" s="333"/>
      <c r="M116" s="333"/>
      <c r="N116" s="333"/>
      <c r="O116" s="333"/>
      <c r="P116" s="333"/>
      <c r="Q116" s="331"/>
      <c r="R116" s="331"/>
      <c r="S116" s="331"/>
      <c r="T116" s="300"/>
      <c r="U116" s="300"/>
      <c r="V116" s="300"/>
      <c r="W116" s="300"/>
      <c r="X116" s="300"/>
      <c r="Y116" s="300"/>
      <c r="Z116" s="300"/>
      <c r="AA116" s="300"/>
      <c r="AB116" s="300"/>
      <c r="AC116" s="273">
        <v>10</v>
      </c>
      <c r="AD116" s="272"/>
      <c r="AE116" s="272"/>
      <c r="AF116" s="272"/>
      <c r="AG116" s="272"/>
      <c r="AH116" s="272"/>
      <c r="AI116" s="272"/>
      <c r="AJ116" s="272"/>
      <c r="AK116" s="272"/>
      <c r="AL116" s="272"/>
      <c r="AM116" s="272"/>
      <c r="AN116" s="272"/>
      <c r="AO116" s="272"/>
      <c r="AP116" s="272"/>
      <c r="AQ116" s="272"/>
      <c r="AR116" s="274"/>
      <c r="AS116" s="274"/>
      <c r="AT116" s="274"/>
      <c r="AU116" s="274"/>
      <c r="AV116" s="274"/>
      <c r="AW116" s="274"/>
      <c r="AX116" s="298">
        <f>IF(BL39&lt;30,AU116*3,IF(BL39&lt;126,AU116*2+AU116*(100-BL39)/100,AU116*(BL39-100)/100))</f>
        <v>0</v>
      </c>
      <c r="AY116" s="298"/>
      <c r="AZ116" s="298"/>
      <c r="BA116" s="274"/>
      <c r="BB116" s="274"/>
      <c r="BC116" s="274"/>
      <c r="BD116" s="13"/>
      <c r="BE116" s="261"/>
      <c r="BF116" s="261"/>
      <c r="BG116" s="261"/>
      <c r="BH116" s="261"/>
      <c r="BI116" s="261"/>
      <c r="BJ116" s="261"/>
      <c r="BK116" s="261"/>
      <c r="BL116" s="261"/>
      <c r="BM116" s="261"/>
      <c r="BN116" s="261"/>
      <c r="BO116" s="261"/>
      <c r="BP116" s="261"/>
      <c r="BQ116" s="29"/>
    </row>
    <row r="117" spans="1:69" ht="7.5" customHeight="1">
      <c r="A117" s="19"/>
      <c r="B117" s="332">
        <v>3</v>
      </c>
      <c r="C117" s="333"/>
      <c r="D117" s="333"/>
      <c r="E117" s="333"/>
      <c r="F117" s="333"/>
      <c r="G117" s="333"/>
      <c r="H117" s="333"/>
      <c r="I117" s="333"/>
      <c r="J117" s="333"/>
      <c r="K117" s="333"/>
      <c r="L117" s="333"/>
      <c r="M117" s="333"/>
      <c r="N117" s="333"/>
      <c r="O117" s="333"/>
      <c r="P117" s="333"/>
      <c r="Q117" s="331"/>
      <c r="R117" s="331"/>
      <c r="S117" s="331"/>
      <c r="T117" s="299">
        <f>IF(INDEX(Таблицы!AA398:AA462,Таблицы!Y400,1)="",0,INDEX(Таблицы!AA398:AA462,Таблицы!Y400,1))</f>
        <v>0</v>
      </c>
      <c r="U117" s="299"/>
      <c r="V117" s="299"/>
      <c r="W117" s="300">
        <f>IF(AK39&lt;30,T117*3,IF(AK39&lt;126,T117*2+T117*(100-AK39)/100,T117*(AK39-100)/100))</f>
        <v>0</v>
      </c>
      <c r="X117" s="300"/>
      <c r="Y117" s="300"/>
      <c r="Z117" s="299">
        <f>IF(INDEX(Таблицы!AB398:AB462,Таблицы!Y400,1)="",0,INDEX(Таблицы!AB398:AB462,Таблицы!Y400,1))*Q117</f>
        <v>0</v>
      </c>
      <c r="AA117" s="299"/>
      <c r="AB117" s="299"/>
      <c r="AC117" s="273"/>
      <c r="AD117" s="272"/>
      <c r="AE117" s="272"/>
      <c r="AF117" s="272"/>
      <c r="AG117" s="272"/>
      <c r="AH117" s="272"/>
      <c r="AI117" s="272"/>
      <c r="AJ117" s="272"/>
      <c r="AK117" s="272"/>
      <c r="AL117" s="272"/>
      <c r="AM117" s="272"/>
      <c r="AN117" s="272"/>
      <c r="AO117" s="272"/>
      <c r="AP117" s="272"/>
      <c r="AQ117" s="272"/>
      <c r="AR117" s="274"/>
      <c r="AS117" s="274"/>
      <c r="AT117" s="274"/>
      <c r="AU117" s="274"/>
      <c r="AV117" s="274"/>
      <c r="AW117" s="274"/>
      <c r="AX117" s="298"/>
      <c r="AY117" s="298"/>
      <c r="AZ117" s="298"/>
      <c r="BA117" s="274"/>
      <c r="BB117" s="274"/>
      <c r="BC117" s="274"/>
      <c r="BD117" s="13"/>
      <c r="BE117" s="261"/>
      <c r="BF117" s="261"/>
      <c r="BG117" s="261"/>
      <c r="BH117" s="261"/>
      <c r="BI117" s="261"/>
      <c r="BJ117" s="261"/>
      <c r="BK117" s="261"/>
      <c r="BL117" s="261"/>
      <c r="BM117" s="261"/>
      <c r="BN117" s="261"/>
      <c r="BO117" s="261"/>
      <c r="BP117" s="261"/>
      <c r="BQ117" s="29"/>
    </row>
    <row r="118" spans="1:69" ht="7.5" customHeight="1">
      <c r="A118" s="19"/>
      <c r="B118" s="332"/>
      <c r="C118" s="333"/>
      <c r="D118" s="333"/>
      <c r="E118" s="333"/>
      <c r="F118" s="333"/>
      <c r="G118" s="333"/>
      <c r="H118" s="333"/>
      <c r="I118" s="333"/>
      <c r="J118" s="333"/>
      <c r="K118" s="333"/>
      <c r="L118" s="333"/>
      <c r="M118" s="333"/>
      <c r="N118" s="333"/>
      <c r="O118" s="333"/>
      <c r="P118" s="333"/>
      <c r="Q118" s="331"/>
      <c r="R118" s="331"/>
      <c r="S118" s="331"/>
      <c r="T118" s="300"/>
      <c r="U118" s="300"/>
      <c r="V118" s="300"/>
      <c r="W118" s="300"/>
      <c r="X118" s="300"/>
      <c r="Y118" s="300"/>
      <c r="Z118" s="300"/>
      <c r="AA118" s="300"/>
      <c r="AB118" s="300"/>
      <c r="AC118" s="273">
        <v>11</v>
      </c>
      <c r="AD118" s="272"/>
      <c r="AE118" s="272"/>
      <c r="AF118" s="272"/>
      <c r="AG118" s="272"/>
      <c r="AH118" s="272"/>
      <c r="AI118" s="272"/>
      <c r="AJ118" s="272"/>
      <c r="AK118" s="272"/>
      <c r="AL118" s="272"/>
      <c r="AM118" s="272"/>
      <c r="AN118" s="272"/>
      <c r="AO118" s="272"/>
      <c r="AP118" s="272"/>
      <c r="AQ118" s="272"/>
      <c r="AR118" s="274"/>
      <c r="AS118" s="274"/>
      <c r="AT118" s="274"/>
      <c r="AU118" s="274"/>
      <c r="AV118" s="274"/>
      <c r="AW118" s="274"/>
      <c r="AX118" s="298">
        <f>IF(BL39&lt;30,AU118*3,IF(BL39&lt;126,AU118*2+AU118*(100-BL39)/100,AU118*(BL39-100)/100))</f>
        <v>0</v>
      </c>
      <c r="AY118" s="298"/>
      <c r="AZ118" s="298"/>
      <c r="BA118" s="274"/>
      <c r="BB118" s="274"/>
      <c r="BC118" s="274"/>
      <c r="BD118" s="13"/>
      <c r="BE118" s="261"/>
      <c r="BF118" s="261"/>
      <c r="BG118" s="261"/>
      <c r="BH118" s="261"/>
      <c r="BI118" s="261"/>
      <c r="BJ118" s="261"/>
      <c r="BK118" s="261"/>
      <c r="BL118" s="261"/>
      <c r="BM118" s="261"/>
      <c r="BN118" s="261"/>
      <c r="BO118" s="261"/>
      <c r="BP118" s="261"/>
      <c r="BQ118" s="29"/>
    </row>
    <row r="119" spans="1:69" ht="7.5" customHeight="1">
      <c r="A119" s="19"/>
      <c r="B119" s="332"/>
      <c r="C119" s="333"/>
      <c r="D119" s="333"/>
      <c r="E119" s="333"/>
      <c r="F119" s="333"/>
      <c r="G119" s="333"/>
      <c r="H119" s="333"/>
      <c r="I119" s="333"/>
      <c r="J119" s="333"/>
      <c r="K119" s="333"/>
      <c r="L119" s="333"/>
      <c r="M119" s="333"/>
      <c r="N119" s="333"/>
      <c r="O119" s="333"/>
      <c r="P119" s="333"/>
      <c r="Q119" s="331"/>
      <c r="R119" s="331"/>
      <c r="S119" s="331"/>
      <c r="T119" s="300"/>
      <c r="U119" s="300"/>
      <c r="V119" s="300"/>
      <c r="W119" s="300"/>
      <c r="X119" s="300"/>
      <c r="Y119" s="300"/>
      <c r="Z119" s="300"/>
      <c r="AA119" s="300"/>
      <c r="AB119" s="300"/>
      <c r="AC119" s="273"/>
      <c r="AD119" s="272"/>
      <c r="AE119" s="272"/>
      <c r="AF119" s="272"/>
      <c r="AG119" s="272"/>
      <c r="AH119" s="272"/>
      <c r="AI119" s="272"/>
      <c r="AJ119" s="272"/>
      <c r="AK119" s="272"/>
      <c r="AL119" s="272"/>
      <c r="AM119" s="272"/>
      <c r="AN119" s="272"/>
      <c r="AO119" s="272"/>
      <c r="AP119" s="272"/>
      <c r="AQ119" s="272"/>
      <c r="AR119" s="274"/>
      <c r="AS119" s="274"/>
      <c r="AT119" s="274"/>
      <c r="AU119" s="274"/>
      <c r="AV119" s="274"/>
      <c r="AW119" s="274"/>
      <c r="AX119" s="298"/>
      <c r="AY119" s="298"/>
      <c r="AZ119" s="298"/>
      <c r="BA119" s="274"/>
      <c r="BB119" s="274"/>
      <c r="BC119" s="274"/>
      <c r="BD119" s="13"/>
      <c r="BE119" s="261"/>
      <c r="BF119" s="261"/>
      <c r="BG119" s="261"/>
      <c r="BH119" s="261"/>
      <c r="BI119" s="261"/>
      <c r="BJ119" s="261"/>
      <c r="BK119" s="261"/>
      <c r="BL119" s="261"/>
      <c r="BM119" s="261"/>
      <c r="BN119" s="261"/>
      <c r="BO119" s="261"/>
      <c r="BP119" s="261"/>
      <c r="BQ119" s="29"/>
    </row>
    <row r="120" spans="1:69" ht="7.5" customHeight="1">
      <c r="A120" s="19"/>
      <c r="B120" s="332">
        <v>4</v>
      </c>
      <c r="C120" s="333"/>
      <c r="D120" s="333"/>
      <c r="E120" s="333"/>
      <c r="F120" s="333"/>
      <c r="G120" s="333"/>
      <c r="H120" s="333"/>
      <c r="I120" s="333"/>
      <c r="J120" s="333"/>
      <c r="K120" s="333"/>
      <c r="L120" s="333"/>
      <c r="M120" s="333"/>
      <c r="N120" s="333"/>
      <c r="O120" s="333"/>
      <c r="P120" s="333"/>
      <c r="Q120" s="331"/>
      <c r="R120" s="331"/>
      <c r="S120" s="331"/>
      <c r="T120" s="299">
        <f>IF(INDEX(Таблицы!AA398:AA462,Таблицы!Y401,1)="",0,INDEX(Таблицы!AA398:AA462,Таблицы!Y401,1))</f>
        <v>0</v>
      </c>
      <c r="U120" s="299"/>
      <c r="V120" s="299"/>
      <c r="W120" s="300">
        <f>IF(AK39&lt;30,T120*3,IF(AK39&lt;126,T120*2+T120*(100-AK39)/100,T120*(AK39-100)/100))</f>
        <v>0</v>
      </c>
      <c r="X120" s="300"/>
      <c r="Y120" s="300"/>
      <c r="Z120" s="299">
        <f>IF(INDEX(Таблицы!AB398:AB462,Таблицы!Y401,1)="",0,INDEX(Таблицы!AB398:AB462,Таблицы!Y401,1))*Q120</f>
        <v>0</v>
      </c>
      <c r="AA120" s="299"/>
      <c r="AB120" s="299"/>
      <c r="AC120" s="273">
        <v>12</v>
      </c>
      <c r="AD120" s="272"/>
      <c r="AE120" s="272"/>
      <c r="AF120" s="272"/>
      <c r="AG120" s="272"/>
      <c r="AH120" s="272"/>
      <c r="AI120" s="272"/>
      <c r="AJ120" s="272"/>
      <c r="AK120" s="272"/>
      <c r="AL120" s="272"/>
      <c r="AM120" s="272"/>
      <c r="AN120" s="272"/>
      <c r="AO120" s="272"/>
      <c r="AP120" s="272"/>
      <c r="AQ120" s="272"/>
      <c r="AR120" s="274"/>
      <c r="AS120" s="274"/>
      <c r="AT120" s="274"/>
      <c r="AU120" s="274"/>
      <c r="AV120" s="274"/>
      <c r="AW120" s="274"/>
      <c r="AX120" s="298">
        <f>IF(BL39&lt;30,AU120*3,IF(BL39&lt;126,AU120*2+AU120*(100-BL39)/100,AU120*(BL39-100)/100))</f>
        <v>0</v>
      </c>
      <c r="AY120" s="298"/>
      <c r="AZ120" s="298"/>
      <c r="BA120" s="274"/>
      <c r="BB120" s="274"/>
      <c r="BC120" s="274"/>
      <c r="BD120" s="13"/>
      <c r="BE120" s="261"/>
      <c r="BF120" s="261"/>
      <c r="BG120" s="261"/>
      <c r="BH120" s="261"/>
      <c r="BI120" s="261"/>
      <c r="BJ120" s="261"/>
      <c r="BK120" s="261"/>
      <c r="BL120" s="261"/>
      <c r="BM120" s="261"/>
      <c r="BN120" s="261"/>
      <c r="BO120" s="261"/>
      <c r="BP120" s="261"/>
      <c r="BQ120" s="29"/>
    </row>
    <row r="121" spans="1:69" ht="7.5" customHeight="1">
      <c r="A121" s="19"/>
      <c r="B121" s="332"/>
      <c r="C121" s="333"/>
      <c r="D121" s="333"/>
      <c r="E121" s="333"/>
      <c r="F121" s="333"/>
      <c r="G121" s="333"/>
      <c r="H121" s="333"/>
      <c r="I121" s="333"/>
      <c r="J121" s="333"/>
      <c r="K121" s="333"/>
      <c r="L121" s="333"/>
      <c r="M121" s="333"/>
      <c r="N121" s="333"/>
      <c r="O121" s="333"/>
      <c r="P121" s="333"/>
      <c r="Q121" s="331"/>
      <c r="R121" s="331"/>
      <c r="S121" s="331"/>
      <c r="T121" s="300"/>
      <c r="U121" s="300"/>
      <c r="V121" s="300"/>
      <c r="W121" s="300"/>
      <c r="X121" s="300"/>
      <c r="Y121" s="300"/>
      <c r="Z121" s="300"/>
      <c r="AA121" s="300"/>
      <c r="AB121" s="300"/>
      <c r="AC121" s="273"/>
      <c r="AD121" s="272"/>
      <c r="AE121" s="272"/>
      <c r="AF121" s="272"/>
      <c r="AG121" s="272"/>
      <c r="AH121" s="272"/>
      <c r="AI121" s="272"/>
      <c r="AJ121" s="272"/>
      <c r="AK121" s="272"/>
      <c r="AL121" s="272"/>
      <c r="AM121" s="272"/>
      <c r="AN121" s="272"/>
      <c r="AO121" s="272"/>
      <c r="AP121" s="272"/>
      <c r="AQ121" s="272"/>
      <c r="AR121" s="274"/>
      <c r="AS121" s="274"/>
      <c r="AT121" s="274"/>
      <c r="AU121" s="274"/>
      <c r="AV121" s="274"/>
      <c r="AW121" s="274"/>
      <c r="AX121" s="298"/>
      <c r="AY121" s="298"/>
      <c r="AZ121" s="298"/>
      <c r="BA121" s="274"/>
      <c r="BB121" s="274"/>
      <c r="BC121" s="274"/>
      <c r="BD121" s="13"/>
      <c r="BE121" s="261"/>
      <c r="BF121" s="261"/>
      <c r="BG121" s="261"/>
      <c r="BH121" s="261"/>
      <c r="BI121" s="261"/>
      <c r="BJ121" s="261"/>
      <c r="BK121" s="261"/>
      <c r="BL121" s="261"/>
      <c r="BM121" s="261"/>
      <c r="BN121" s="261"/>
      <c r="BO121" s="261"/>
      <c r="BP121" s="261"/>
      <c r="BQ121" s="29"/>
    </row>
    <row r="122" spans="1:69" ht="7.5" customHeight="1">
      <c r="A122" s="19"/>
      <c r="B122" s="332"/>
      <c r="C122" s="333"/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1"/>
      <c r="R122" s="331"/>
      <c r="S122" s="331"/>
      <c r="T122" s="300"/>
      <c r="U122" s="300"/>
      <c r="V122" s="300"/>
      <c r="W122" s="300"/>
      <c r="X122" s="300"/>
      <c r="Y122" s="300"/>
      <c r="Z122" s="300"/>
      <c r="AA122" s="300"/>
      <c r="AB122" s="300"/>
      <c r="AC122" s="273">
        <v>13</v>
      </c>
      <c r="AD122" s="272"/>
      <c r="AE122" s="272"/>
      <c r="AF122" s="272"/>
      <c r="AG122" s="272"/>
      <c r="AH122" s="272"/>
      <c r="AI122" s="272"/>
      <c r="AJ122" s="272"/>
      <c r="AK122" s="272"/>
      <c r="AL122" s="272"/>
      <c r="AM122" s="272"/>
      <c r="AN122" s="272"/>
      <c r="AO122" s="272"/>
      <c r="AP122" s="272"/>
      <c r="AQ122" s="272"/>
      <c r="AR122" s="274"/>
      <c r="AS122" s="274"/>
      <c r="AT122" s="274"/>
      <c r="AU122" s="274"/>
      <c r="AV122" s="274"/>
      <c r="AW122" s="274"/>
      <c r="AX122" s="298">
        <f>IF(BL39&lt;30,AU122*3,IF(BL39&lt;126,AU122*2+AU122*(100-BL39)/100,AU122*(BL39-100)/100))</f>
        <v>0</v>
      </c>
      <c r="AY122" s="298"/>
      <c r="AZ122" s="298"/>
      <c r="BA122" s="274"/>
      <c r="BB122" s="274"/>
      <c r="BC122" s="274"/>
      <c r="BD122" s="13"/>
      <c r="BE122" s="261"/>
      <c r="BF122" s="261"/>
      <c r="BG122" s="261"/>
      <c r="BH122" s="261"/>
      <c r="BI122" s="261"/>
      <c r="BJ122" s="261"/>
      <c r="BK122" s="261"/>
      <c r="BL122" s="261"/>
      <c r="BM122" s="261"/>
      <c r="BN122" s="261"/>
      <c r="BO122" s="261"/>
      <c r="BP122" s="261"/>
      <c r="BQ122" s="29"/>
    </row>
    <row r="123" spans="1:69" ht="7.5" customHeight="1">
      <c r="A123" s="19"/>
      <c r="B123" s="332">
        <v>5</v>
      </c>
      <c r="C123" s="333"/>
      <c r="D123" s="333"/>
      <c r="E123" s="333"/>
      <c r="F123" s="333"/>
      <c r="G123" s="333"/>
      <c r="H123" s="333"/>
      <c r="I123" s="333"/>
      <c r="J123" s="333"/>
      <c r="K123" s="333"/>
      <c r="L123" s="333"/>
      <c r="M123" s="333"/>
      <c r="N123" s="333"/>
      <c r="O123" s="333"/>
      <c r="P123" s="333"/>
      <c r="Q123" s="331"/>
      <c r="R123" s="331"/>
      <c r="S123" s="331"/>
      <c r="T123" s="299">
        <f>IF(INDEX(Таблицы!AA398:AA462,Таблицы!Y402,1)="",0,INDEX(Таблицы!AA398:AA462,Таблицы!Y402,1))</f>
        <v>0</v>
      </c>
      <c r="U123" s="299"/>
      <c r="V123" s="299"/>
      <c r="W123" s="300">
        <f>IF(AK39&lt;30,T123*3,IF(AK39&lt;126,T123*2+T123*(100-AK39)/100,T123*(AK39-100)/100))</f>
        <v>0</v>
      </c>
      <c r="X123" s="300"/>
      <c r="Y123" s="300"/>
      <c r="Z123" s="299">
        <f>IF(INDEX(Таблицы!AB398:AB462,Таблицы!Y402,1)="",0,INDEX(Таблицы!AB398:AB462,Таблицы!Y402,1))*Q123</f>
        <v>0</v>
      </c>
      <c r="AA123" s="299"/>
      <c r="AB123" s="299"/>
      <c r="AC123" s="273"/>
      <c r="AD123" s="272"/>
      <c r="AE123" s="272"/>
      <c r="AF123" s="272"/>
      <c r="AG123" s="272"/>
      <c r="AH123" s="272"/>
      <c r="AI123" s="272"/>
      <c r="AJ123" s="272"/>
      <c r="AK123" s="272"/>
      <c r="AL123" s="272"/>
      <c r="AM123" s="272"/>
      <c r="AN123" s="272"/>
      <c r="AO123" s="272"/>
      <c r="AP123" s="272"/>
      <c r="AQ123" s="272"/>
      <c r="AR123" s="274"/>
      <c r="AS123" s="274"/>
      <c r="AT123" s="274"/>
      <c r="AU123" s="274"/>
      <c r="AV123" s="274"/>
      <c r="AW123" s="274"/>
      <c r="AX123" s="298"/>
      <c r="AY123" s="298"/>
      <c r="AZ123" s="298"/>
      <c r="BA123" s="274"/>
      <c r="BB123" s="274"/>
      <c r="BC123" s="274"/>
      <c r="BD123" s="13"/>
      <c r="BE123" s="261"/>
      <c r="BF123" s="261"/>
      <c r="BG123" s="261"/>
      <c r="BH123" s="261"/>
      <c r="BI123" s="261"/>
      <c r="BJ123" s="261"/>
      <c r="BK123" s="261"/>
      <c r="BL123" s="261"/>
      <c r="BM123" s="261"/>
      <c r="BN123" s="261"/>
      <c r="BO123" s="261"/>
      <c r="BP123" s="261"/>
      <c r="BQ123" s="29"/>
    </row>
    <row r="124" spans="1:69" ht="7.5" customHeight="1">
      <c r="A124" s="19"/>
      <c r="B124" s="332"/>
      <c r="C124" s="333"/>
      <c r="D124" s="333"/>
      <c r="E124" s="333"/>
      <c r="F124" s="333"/>
      <c r="G124" s="333"/>
      <c r="H124" s="333"/>
      <c r="I124" s="333"/>
      <c r="J124" s="333"/>
      <c r="K124" s="333"/>
      <c r="L124" s="333"/>
      <c r="M124" s="333"/>
      <c r="N124" s="333"/>
      <c r="O124" s="333"/>
      <c r="P124" s="333"/>
      <c r="Q124" s="331"/>
      <c r="R124" s="331"/>
      <c r="S124" s="331"/>
      <c r="T124" s="300"/>
      <c r="U124" s="300"/>
      <c r="V124" s="300"/>
      <c r="W124" s="300"/>
      <c r="X124" s="300"/>
      <c r="Y124" s="300"/>
      <c r="Z124" s="300"/>
      <c r="AA124" s="300"/>
      <c r="AB124" s="300"/>
      <c r="AC124" s="273">
        <v>14</v>
      </c>
      <c r="AD124" s="272"/>
      <c r="AE124" s="272"/>
      <c r="AF124" s="272"/>
      <c r="AG124" s="272"/>
      <c r="AH124" s="272"/>
      <c r="AI124" s="272"/>
      <c r="AJ124" s="272"/>
      <c r="AK124" s="272"/>
      <c r="AL124" s="272"/>
      <c r="AM124" s="272"/>
      <c r="AN124" s="272"/>
      <c r="AO124" s="272"/>
      <c r="AP124" s="272"/>
      <c r="AQ124" s="272"/>
      <c r="AR124" s="274"/>
      <c r="AS124" s="274"/>
      <c r="AT124" s="274"/>
      <c r="AU124" s="274"/>
      <c r="AV124" s="274"/>
      <c r="AW124" s="274"/>
      <c r="AX124" s="298">
        <f>IF(BL39&lt;30,AU124*3,IF(BL39&lt;126,AU124*2+AU124*(100-BL39)/100,AU124*(BL39-100)/100))</f>
        <v>0</v>
      </c>
      <c r="AY124" s="298"/>
      <c r="AZ124" s="298"/>
      <c r="BA124" s="274"/>
      <c r="BB124" s="274"/>
      <c r="BC124" s="274"/>
      <c r="BD124" s="13"/>
      <c r="BE124" s="261"/>
      <c r="BF124" s="261"/>
      <c r="BG124" s="261"/>
      <c r="BH124" s="261"/>
      <c r="BI124" s="261"/>
      <c r="BJ124" s="261"/>
      <c r="BK124" s="261"/>
      <c r="BL124" s="261"/>
      <c r="BM124" s="261"/>
      <c r="BN124" s="261"/>
      <c r="BO124" s="261"/>
      <c r="BP124" s="261"/>
      <c r="BQ124" s="29"/>
    </row>
    <row r="125" spans="1:69" ht="7.5" customHeight="1">
      <c r="A125" s="19"/>
      <c r="B125" s="332"/>
      <c r="C125" s="333"/>
      <c r="D125" s="333"/>
      <c r="E125" s="333"/>
      <c r="F125" s="333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1"/>
      <c r="R125" s="331"/>
      <c r="S125" s="331"/>
      <c r="T125" s="300"/>
      <c r="U125" s="300"/>
      <c r="V125" s="300"/>
      <c r="W125" s="300"/>
      <c r="X125" s="300"/>
      <c r="Y125" s="300"/>
      <c r="Z125" s="300"/>
      <c r="AA125" s="300"/>
      <c r="AB125" s="300"/>
      <c r="AC125" s="273"/>
      <c r="AD125" s="272"/>
      <c r="AE125" s="272"/>
      <c r="AF125" s="272"/>
      <c r="AG125" s="272"/>
      <c r="AH125" s="272"/>
      <c r="AI125" s="272"/>
      <c r="AJ125" s="272"/>
      <c r="AK125" s="272"/>
      <c r="AL125" s="272"/>
      <c r="AM125" s="272"/>
      <c r="AN125" s="272"/>
      <c r="AO125" s="272"/>
      <c r="AP125" s="272"/>
      <c r="AQ125" s="272"/>
      <c r="AR125" s="274"/>
      <c r="AS125" s="274"/>
      <c r="AT125" s="274"/>
      <c r="AU125" s="274"/>
      <c r="AV125" s="274"/>
      <c r="AW125" s="274"/>
      <c r="AX125" s="298"/>
      <c r="AY125" s="298"/>
      <c r="AZ125" s="298"/>
      <c r="BA125" s="274"/>
      <c r="BB125" s="274"/>
      <c r="BC125" s="274"/>
      <c r="BD125" s="13"/>
      <c r="BE125" s="261"/>
      <c r="BF125" s="261"/>
      <c r="BG125" s="261"/>
      <c r="BH125" s="261"/>
      <c r="BI125" s="261"/>
      <c r="BJ125" s="261"/>
      <c r="BK125" s="261"/>
      <c r="BL125" s="261"/>
      <c r="BM125" s="261"/>
      <c r="BN125" s="261"/>
      <c r="BO125" s="261"/>
      <c r="BP125" s="261"/>
      <c r="BQ125" s="29"/>
    </row>
    <row r="126" spans="1:69" ht="7.5" customHeight="1">
      <c r="A126" s="19"/>
      <c r="B126" s="332">
        <v>6</v>
      </c>
      <c r="C126" s="333"/>
      <c r="D126" s="333"/>
      <c r="E126" s="333"/>
      <c r="F126" s="333"/>
      <c r="G126" s="333"/>
      <c r="H126" s="333"/>
      <c r="I126" s="333"/>
      <c r="J126" s="333"/>
      <c r="K126" s="333"/>
      <c r="L126" s="333"/>
      <c r="M126" s="333"/>
      <c r="N126" s="333"/>
      <c r="O126" s="333"/>
      <c r="P126" s="333"/>
      <c r="Q126" s="331"/>
      <c r="R126" s="331"/>
      <c r="S126" s="331"/>
      <c r="T126" s="299">
        <f>IF(INDEX(Таблицы!AA398:AA462,Таблицы!Y403,1)="",0,INDEX(Таблицы!AA398:AA462,Таблицы!Y403,1))</f>
        <v>0</v>
      </c>
      <c r="U126" s="299"/>
      <c r="V126" s="299"/>
      <c r="W126" s="300">
        <f>IF(AK39&lt;30,T126*3,IF(AK39&lt;126,T126*2+T126*(100-AK39)/100,T126*(AK39-100)/100))</f>
        <v>0</v>
      </c>
      <c r="X126" s="300"/>
      <c r="Y126" s="300"/>
      <c r="Z126" s="299">
        <f>IF(INDEX(Таблицы!AB398:AB462,Таблицы!Y403,1)="",0,INDEX(Таблицы!AB398:AB462,Таблицы!Y403,1))*Q126</f>
        <v>0</v>
      </c>
      <c r="AA126" s="299"/>
      <c r="AB126" s="299"/>
      <c r="AC126" s="273">
        <v>15</v>
      </c>
      <c r="AD126" s="272"/>
      <c r="AE126" s="272"/>
      <c r="AF126" s="272"/>
      <c r="AG126" s="272"/>
      <c r="AH126" s="272"/>
      <c r="AI126" s="272"/>
      <c r="AJ126" s="272"/>
      <c r="AK126" s="272"/>
      <c r="AL126" s="272"/>
      <c r="AM126" s="272"/>
      <c r="AN126" s="272"/>
      <c r="AO126" s="272"/>
      <c r="AP126" s="272"/>
      <c r="AQ126" s="272"/>
      <c r="AR126" s="274"/>
      <c r="AS126" s="274"/>
      <c r="AT126" s="274"/>
      <c r="AU126" s="274"/>
      <c r="AV126" s="274"/>
      <c r="AW126" s="274"/>
      <c r="AX126" s="298">
        <f>IF(BL39&lt;30,AU126*3,IF(BL39&lt;126,AU126*2+AU126*(100-BL39)/100,AU126*(BL39-100)/100))</f>
        <v>0</v>
      </c>
      <c r="AY126" s="298"/>
      <c r="AZ126" s="298"/>
      <c r="BA126" s="274"/>
      <c r="BB126" s="274"/>
      <c r="BC126" s="274"/>
      <c r="BD126" s="13"/>
      <c r="BE126" s="261"/>
      <c r="BF126" s="261"/>
      <c r="BG126" s="261"/>
      <c r="BH126" s="261"/>
      <c r="BI126" s="261"/>
      <c r="BJ126" s="261"/>
      <c r="BK126" s="261"/>
      <c r="BL126" s="261"/>
      <c r="BM126" s="261"/>
      <c r="BN126" s="261"/>
      <c r="BO126" s="261"/>
      <c r="BP126" s="261"/>
      <c r="BQ126" s="29"/>
    </row>
    <row r="127" spans="1:69" ht="7.5" customHeight="1">
      <c r="A127" s="19"/>
      <c r="B127" s="332"/>
      <c r="C127" s="333"/>
      <c r="D127" s="333"/>
      <c r="E127" s="333"/>
      <c r="F127" s="333"/>
      <c r="G127" s="333"/>
      <c r="H127" s="333"/>
      <c r="I127" s="333"/>
      <c r="J127" s="333"/>
      <c r="K127" s="333"/>
      <c r="L127" s="333"/>
      <c r="M127" s="333"/>
      <c r="N127" s="333"/>
      <c r="O127" s="333"/>
      <c r="P127" s="333"/>
      <c r="Q127" s="331"/>
      <c r="R127" s="331"/>
      <c r="S127" s="331"/>
      <c r="T127" s="300"/>
      <c r="U127" s="300"/>
      <c r="V127" s="300"/>
      <c r="W127" s="300"/>
      <c r="X127" s="300"/>
      <c r="Y127" s="300"/>
      <c r="Z127" s="300"/>
      <c r="AA127" s="300"/>
      <c r="AB127" s="300"/>
      <c r="AC127" s="273"/>
      <c r="AD127" s="272"/>
      <c r="AE127" s="272"/>
      <c r="AF127" s="272"/>
      <c r="AG127" s="272"/>
      <c r="AH127" s="272"/>
      <c r="AI127" s="272"/>
      <c r="AJ127" s="272"/>
      <c r="AK127" s="272"/>
      <c r="AL127" s="272"/>
      <c r="AM127" s="272"/>
      <c r="AN127" s="272"/>
      <c r="AO127" s="272"/>
      <c r="AP127" s="272"/>
      <c r="AQ127" s="272"/>
      <c r="AR127" s="274"/>
      <c r="AS127" s="274"/>
      <c r="AT127" s="274"/>
      <c r="AU127" s="274"/>
      <c r="AV127" s="274"/>
      <c r="AW127" s="274"/>
      <c r="AX127" s="298"/>
      <c r="AY127" s="298"/>
      <c r="AZ127" s="298"/>
      <c r="BA127" s="274"/>
      <c r="BB127" s="274"/>
      <c r="BC127" s="274"/>
      <c r="BD127" s="13"/>
      <c r="BE127" s="261"/>
      <c r="BF127" s="261"/>
      <c r="BG127" s="261"/>
      <c r="BH127" s="261"/>
      <c r="BI127" s="261"/>
      <c r="BJ127" s="261"/>
      <c r="BK127" s="261"/>
      <c r="BL127" s="261"/>
      <c r="BM127" s="261"/>
      <c r="BN127" s="261"/>
      <c r="BO127" s="261"/>
      <c r="BP127" s="261"/>
      <c r="BQ127" s="29"/>
    </row>
    <row r="128" spans="1:69" ht="7.5" customHeight="1">
      <c r="A128" s="19"/>
      <c r="B128" s="332"/>
      <c r="C128" s="333"/>
      <c r="D128" s="333"/>
      <c r="E128" s="333"/>
      <c r="F128" s="333"/>
      <c r="G128" s="333"/>
      <c r="H128" s="333"/>
      <c r="I128" s="333"/>
      <c r="J128" s="333"/>
      <c r="K128" s="333"/>
      <c r="L128" s="333"/>
      <c r="M128" s="333"/>
      <c r="N128" s="333"/>
      <c r="O128" s="333"/>
      <c r="P128" s="333"/>
      <c r="Q128" s="331"/>
      <c r="R128" s="331"/>
      <c r="S128" s="331"/>
      <c r="T128" s="300"/>
      <c r="U128" s="300"/>
      <c r="V128" s="300"/>
      <c r="W128" s="300"/>
      <c r="X128" s="300"/>
      <c r="Y128" s="300"/>
      <c r="Z128" s="300"/>
      <c r="AA128" s="300"/>
      <c r="AB128" s="300"/>
      <c r="AC128" s="273">
        <v>16</v>
      </c>
      <c r="AD128" s="272"/>
      <c r="AE128" s="272"/>
      <c r="AF128" s="272"/>
      <c r="AG128" s="272"/>
      <c r="AH128" s="272"/>
      <c r="AI128" s="272"/>
      <c r="AJ128" s="272"/>
      <c r="AK128" s="272"/>
      <c r="AL128" s="272"/>
      <c r="AM128" s="272"/>
      <c r="AN128" s="272"/>
      <c r="AO128" s="272"/>
      <c r="AP128" s="272"/>
      <c r="AQ128" s="272"/>
      <c r="AR128" s="274"/>
      <c r="AS128" s="274"/>
      <c r="AT128" s="274"/>
      <c r="AU128" s="274"/>
      <c r="AV128" s="274"/>
      <c r="AW128" s="274"/>
      <c r="AX128" s="298">
        <f>IF(BL39&lt;30,AU128*3,IF(BL39&lt;126,AU128*2+AU128*(100-BL39)/100,AU128*(BL39-100)/100))</f>
        <v>0</v>
      </c>
      <c r="AY128" s="298"/>
      <c r="AZ128" s="298"/>
      <c r="BA128" s="274"/>
      <c r="BB128" s="274"/>
      <c r="BC128" s="274"/>
      <c r="BD128" s="13"/>
      <c r="BE128" s="261"/>
      <c r="BF128" s="261"/>
      <c r="BG128" s="261"/>
      <c r="BH128" s="261"/>
      <c r="BI128" s="261"/>
      <c r="BJ128" s="261"/>
      <c r="BK128" s="261"/>
      <c r="BL128" s="261"/>
      <c r="BM128" s="261"/>
      <c r="BN128" s="261"/>
      <c r="BO128" s="261"/>
      <c r="BP128" s="261"/>
      <c r="BQ128" s="29"/>
    </row>
    <row r="129" spans="1:69" ht="7.5" customHeight="1">
      <c r="A129" s="19"/>
      <c r="B129" s="332">
        <v>7</v>
      </c>
      <c r="C129" s="333"/>
      <c r="D129" s="333"/>
      <c r="E129" s="333"/>
      <c r="F129" s="333"/>
      <c r="G129" s="333"/>
      <c r="H129" s="333"/>
      <c r="I129" s="333"/>
      <c r="J129" s="333"/>
      <c r="K129" s="333"/>
      <c r="L129" s="333"/>
      <c r="M129" s="333"/>
      <c r="N129" s="333"/>
      <c r="O129" s="333"/>
      <c r="P129" s="333"/>
      <c r="Q129" s="331"/>
      <c r="R129" s="331"/>
      <c r="S129" s="331"/>
      <c r="T129" s="299">
        <f>IF(INDEX(Таблицы!AA398:AA462,Таблицы!Y404,1)="",0,INDEX(Таблицы!AA398:AA462,Таблицы!Y404,1))</f>
        <v>0</v>
      </c>
      <c r="U129" s="299"/>
      <c r="V129" s="299"/>
      <c r="W129" s="300">
        <f>IF(AK39&lt;30,T129*3,IF(AK39&lt;126,T129*2+T129*(100-AK39)/100,T129*(AK39-100)/100))</f>
        <v>0</v>
      </c>
      <c r="X129" s="300"/>
      <c r="Y129" s="300"/>
      <c r="Z129" s="299">
        <f>IF(INDEX(Таблицы!AB398:AB462,Таблицы!Y404,1)="",0,INDEX(Таблицы!AB398:AB462,Таблицы!Y404,1))*Q129</f>
        <v>0</v>
      </c>
      <c r="AA129" s="299"/>
      <c r="AB129" s="299"/>
      <c r="AC129" s="273"/>
      <c r="AD129" s="272"/>
      <c r="AE129" s="272"/>
      <c r="AF129" s="272"/>
      <c r="AG129" s="272"/>
      <c r="AH129" s="272"/>
      <c r="AI129" s="272"/>
      <c r="AJ129" s="272"/>
      <c r="AK129" s="272"/>
      <c r="AL129" s="272"/>
      <c r="AM129" s="272"/>
      <c r="AN129" s="272"/>
      <c r="AO129" s="272"/>
      <c r="AP129" s="272"/>
      <c r="AQ129" s="272"/>
      <c r="AR129" s="274"/>
      <c r="AS129" s="274"/>
      <c r="AT129" s="274"/>
      <c r="AU129" s="274"/>
      <c r="AV129" s="274"/>
      <c r="AW129" s="274"/>
      <c r="AX129" s="298"/>
      <c r="AY129" s="298"/>
      <c r="AZ129" s="298"/>
      <c r="BA129" s="274"/>
      <c r="BB129" s="274"/>
      <c r="BC129" s="274"/>
      <c r="BD129" s="13"/>
      <c r="BE129" s="261"/>
      <c r="BF129" s="261"/>
      <c r="BG129" s="261"/>
      <c r="BH129" s="261"/>
      <c r="BI129" s="261"/>
      <c r="BJ129" s="261"/>
      <c r="BK129" s="261"/>
      <c r="BL129" s="261"/>
      <c r="BM129" s="261"/>
      <c r="BN129" s="261"/>
      <c r="BO129" s="261"/>
      <c r="BP129" s="261"/>
      <c r="BQ129" s="29"/>
    </row>
    <row r="130" spans="1:69" ht="7.5" customHeight="1">
      <c r="A130" s="19"/>
      <c r="B130" s="332"/>
      <c r="C130" s="333"/>
      <c r="D130" s="333"/>
      <c r="E130" s="333"/>
      <c r="F130" s="333"/>
      <c r="G130" s="333"/>
      <c r="H130" s="333"/>
      <c r="I130" s="333"/>
      <c r="J130" s="333"/>
      <c r="K130" s="333"/>
      <c r="L130" s="333"/>
      <c r="M130" s="333"/>
      <c r="N130" s="333"/>
      <c r="O130" s="333"/>
      <c r="P130" s="333"/>
      <c r="Q130" s="331"/>
      <c r="R130" s="331"/>
      <c r="S130" s="331"/>
      <c r="T130" s="300"/>
      <c r="U130" s="300"/>
      <c r="V130" s="300"/>
      <c r="W130" s="300"/>
      <c r="X130" s="300"/>
      <c r="Y130" s="300"/>
      <c r="Z130" s="300"/>
      <c r="AA130" s="300"/>
      <c r="AB130" s="300"/>
      <c r="AC130" s="275" t="s">
        <v>230</v>
      </c>
      <c r="AD130" s="275"/>
      <c r="AE130" s="275"/>
      <c r="AF130" s="275"/>
      <c r="AG130" s="275"/>
      <c r="AH130" s="275"/>
      <c r="AI130" s="275"/>
      <c r="AJ130" s="275"/>
      <c r="AK130" s="275"/>
      <c r="AL130" s="275"/>
      <c r="AM130" s="275"/>
      <c r="AN130" s="275"/>
      <c r="AO130" s="275"/>
      <c r="AP130" s="275"/>
      <c r="AQ130" s="275"/>
      <c r="AR130" s="275"/>
      <c r="AS130" s="275"/>
      <c r="AT130" s="276"/>
      <c r="AU130" s="279">
        <f>SUM(T111:V131)+SUM(AU111:AW129)</f>
        <v>0</v>
      </c>
      <c r="AV130" s="279"/>
      <c r="AW130" s="279"/>
      <c r="AX130" s="279">
        <f>SUM(W111:Y131)+SUM(AX111:AZ129)</f>
        <v>0</v>
      </c>
      <c r="AY130" s="279"/>
      <c r="AZ130" s="279"/>
      <c r="BA130" s="279">
        <f>SUM(Z111:AB131)+SUM(BA111:BC129)</f>
        <v>0</v>
      </c>
      <c r="BB130" s="279"/>
      <c r="BC130" s="279"/>
      <c r="BD130" s="13"/>
      <c r="BE130" s="261"/>
      <c r="BF130" s="261"/>
      <c r="BG130" s="261"/>
      <c r="BH130" s="261"/>
      <c r="BI130" s="261"/>
      <c r="BJ130" s="261"/>
      <c r="BK130" s="261"/>
      <c r="BL130" s="261"/>
      <c r="BM130" s="261"/>
      <c r="BN130" s="261"/>
      <c r="BO130" s="261"/>
      <c r="BP130" s="261"/>
      <c r="BQ130" s="29"/>
    </row>
    <row r="131" spans="1:69" ht="7.5" customHeight="1">
      <c r="A131" s="19"/>
      <c r="B131" s="332"/>
      <c r="C131" s="333"/>
      <c r="D131" s="333"/>
      <c r="E131" s="333"/>
      <c r="F131" s="333"/>
      <c r="G131" s="333"/>
      <c r="H131" s="333"/>
      <c r="I131" s="333"/>
      <c r="J131" s="333"/>
      <c r="K131" s="333"/>
      <c r="L131" s="333"/>
      <c r="M131" s="333"/>
      <c r="N131" s="333"/>
      <c r="O131" s="333"/>
      <c r="P131" s="333"/>
      <c r="Q131" s="331"/>
      <c r="R131" s="331"/>
      <c r="S131" s="331"/>
      <c r="T131" s="300"/>
      <c r="U131" s="300"/>
      <c r="V131" s="300"/>
      <c r="W131" s="300"/>
      <c r="X131" s="300"/>
      <c r="Y131" s="300"/>
      <c r="Z131" s="300"/>
      <c r="AA131" s="300"/>
      <c r="AB131" s="300"/>
      <c r="AC131" s="277"/>
      <c r="AD131" s="277"/>
      <c r="AE131" s="277"/>
      <c r="AF131" s="277"/>
      <c r="AG131" s="277"/>
      <c r="AH131" s="277"/>
      <c r="AI131" s="277"/>
      <c r="AJ131" s="277"/>
      <c r="AK131" s="277"/>
      <c r="AL131" s="277"/>
      <c r="AM131" s="277"/>
      <c r="AN131" s="277"/>
      <c r="AO131" s="277"/>
      <c r="AP131" s="277"/>
      <c r="AQ131" s="277"/>
      <c r="AR131" s="277"/>
      <c r="AS131" s="277"/>
      <c r="AT131" s="278"/>
      <c r="AU131" s="279"/>
      <c r="AV131" s="279"/>
      <c r="AW131" s="279"/>
      <c r="AX131" s="279"/>
      <c r="AY131" s="279"/>
      <c r="AZ131" s="279"/>
      <c r="BA131" s="279"/>
      <c r="BB131" s="279"/>
      <c r="BC131" s="279"/>
      <c r="BD131" s="13"/>
      <c r="BE131" s="261"/>
      <c r="BF131" s="261"/>
      <c r="BG131" s="261"/>
      <c r="BH131" s="261"/>
      <c r="BI131" s="261"/>
      <c r="BJ131" s="261"/>
      <c r="BK131" s="261"/>
      <c r="BL131" s="261"/>
      <c r="BM131" s="261"/>
      <c r="BN131" s="261"/>
      <c r="BO131" s="261"/>
      <c r="BP131" s="261"/>
      <c r="BQ131" s="29"/>
    </row>
    <row r="132" spans="1:69" ht="7.5" customHeight="1" thickBot="1">
      <c r="A132" s="32"/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0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3"/>
    </row>
  </sheetData>
  <sheetProtection password="CF7A" sheet="1" objects="1" scenarios="1"/>
  <mergeCells count="760">
    <mergeCell ref="BO102:BP103"/>
    <mergeCell ref="BE104:BN105"/>
    <mergeCell ref="BO104:BP105"/>
    <mergeCell ref="BE110:BN111"/>
    <mergeCell ref="BO110:BP111"/>
    <mergeCell ref="BE106:BN107"/>
    <mergeCell ref="BO106:BP107"/>
    <mergeCell ref="BE108:BN109"/>
    <mergeCell ref="BO108:BP109"/>
    <mergeCell ref="Z129:AB131"/>
    <mergeCell ref="Q120:S122"/>
    <mergeCell ref="T120:V122"/>
    <mergeCell ref="W120:Y122"/>
    <mergeCell ref="Z120:AB122"/>
    <mergeCell ref="T123:V125"/>
    <mergeCell ref="W123:Y125"/>
    <mergeCell ref="Q123:S125"/>
    <mergeCell ref="W126:Y128"/>
    <mergeCell ref="Z126:AB128"/>
    <mergeCell ref="W114:Y116"/>
    <mergeCell ref="Z114:AB116"/>
    <mergeCell ref="B111:B113"/>
    <mergeCell ref="C111:P113"/>
    <mergeCell ref="Q111:S113"/>
    <mergeCell ref="W111:Y113"/>
    <mergeCell ref="B114:B116"/>
    <mergeCell ref="C114:P116"/>
    <mergeCell ref="Q114:S116"/>
    <mergeCell ref="T114:V116"/>
    <mergeCell ref="T111:V113"/>
    <mergeCell ref="O60:Q61"/>
    <mergeCell ref="O64:Q65"/>
    <mergeCell ref="O66:Q67"/>
    <mergeCell ref="S64:U65"/>
    <mergeCell ref="Q84:S85"/>
    <mergeCell ref="Q99:R100"/>
    <mergeCell ref="S103:U104"/>
    <mergeCell ref="Q95:R96"/>
    <mergeCell ref="Q97:R98"/>
    <mergeCell ref="H38:J39"/>
    <mergeCell ref="O50:Q51"/>
    <mergeCell ref="O54:Q55"/>
    <mergeCell ref="O56:Q57"/>
    <mergeCell ref="B54:N55"/>
    <mergeCell ref="O58:Q59"/>
    <mergeCell ref="B66:N67"/>
    <mergeCell ref="B64:N65"/>
    <mergeCell ref="AP25:AQ26"/>
    <mergeCell ref="AK43:AL44"/>
    <mergeCell ref="AK41:AL42"/>
    <mergeCell ref="AK39:AL40"/>
    <mergeCell ref="AK37:AL38"/>
    <mergeCell ref="AK35:AL36"/>
    <mergeCell ref="AK33:AL34"/>
    <mergeCell ref="AN43:AO44"/>
    <mergeCell ref="AN41:AO42"/>
    <mergeCell ref="V66:X67"/>
    <mergeCell ref="V64:X65"/>
    <mergeCell ref="V62:X63"/>
    <mergeCell ref="V60:X61"/>
    <mergeCell ref="V44:X45"/>
    <mergeCell ref="V58:X59"/>
    <mergeCell ref="V56:X57"/>
    <mergeCell ref="V54:X55"/>
    <mergeCell ref="B34:C35"/>
    <mergeCell ref="B36:C37"/>
    <mergeCell ref="S66:U67"/>
    <mergeCell ref="S62:U63"/>
    <mergeCell ref="S60:U61"/>
    <mergeCell ref="O62:Q63"/>
    <mergeCell ref="O46:Q47"/>
    <mergeCell ref="O48:Q49"/>
    <mergeCell ref="O52:Q53"/>
    <mergeCell ref="O44:Q45"/>
    <mergeCell ref="N30:P31"/>
    <mergeCell ref="B32:C33"/>
    <mergeCell ref="K30:M31"/>
    <mergeCell ref="K32:M33"/>
    <mergeCell ref="N32:P33"/>
    <mergeCell ref="B30:C31"/>
    <mergeCell ref="B28:C29"/>
    <mergeCell ref="B24:C25"/>
    <mergeCell ref="K24:M25"/>
    <mergeCell ref="N24:P25"/>
    <mergeCell ref="N26:P27"/>
    <mergeCell ref="B26:C27"/>
    <mergeCell ref="K26:M27"/>
    <mergeCell ref="K28:M29"/>
    <mergeCell ref="N28:P29"/>
    <mergeCell ref="M18:X19"/>
    <mergeCell ref="B2:H3"/>
    <mergeCell ref="I2:X3"/>
    <mergeCell ref="B10:G11"/>
    <mergeCell ref="H10:X11"/>
    <mergeCell ref="Q6:X7"/>
    <mergeCell ref="F8:M9"/>
    <mergeCell ref="Q8:X9"/>
    <mergeCell ref="B4:D5"/>
    <mergeCell ref="I4:L5"/>
    <mergeCell ref="G18:L19"/>
    <mergeCell ref="G20:L21"/>
    <mergeCell ref="B18:F19"/>
    <mergeCell ref="B20:F21"/>
    <mergeCell ref="B14:F15"/>
    <mergeCell ref="G14:L15"/>
    <mergeCell ref="B16:F17"/>
    <mergeCell ref="G16:L17"/>
    <mergeCell ref="M14:R15"/>
    <mergeCell ref="S14:X15"/>
    <mergeCell ref="S16:X17"/>
    <mergeCell ref="M16:R17"/>
    <mergeCell ref="S46:U47"/>
    <mergeCell ref="S58:U59"/>
    <mergeCell ref="S56:U57"/>
    <mergeCell ref="S54:U55"/>
    <mergeCell ref="S52:U53"/>
    <mergeCell ref="V50:X51"/>
    <mergeCell ref="V48:X49"/>
    <mergeCell ref="AP5:AQ6"/>
    <mergeCell ref="AP7:AQ8"/>
    <mergeCell ref="AP43:AQ44"/>
    <mergeCell ref="AP41:AQ42"/>
    <mergeCell ref="AP39:AQ40"/>
    <mergeCell ref="AP37:AQ38"/>
    <mergeCell ref="AP35:AQ36"/>
    <mergeCell ref="M20:X21"/>
    <mergeCell ref="AP33:AQ34"/>
    <mergeCell ref="AP31:AQ32"/>
    <mergeCell ref="AP27:AQ28"/>
    <mergeCell ref="AP29:AQ30"/>
    <mergeCell ref="AK5:AL6"/>
    <mergeCell ref="AN7:AO8"/>
    <mergeCell ref="AK7:AL8"/>
    <mergeCell ref="AN17:AO18"/>
    <mergeCell ref="AN15:AO16"/>
    <mergeCell ref="AN13:AO14"/>
    <mergeCell ref="AN11:AO12"/>
    <mergeCell ref="AN9:AO10"/>
    <mergeCell ref="AN5:AO6"/>
    <mergeCell ref="AK15:AL16"/>
    <mergeCell ref="AC9:AJ10"/>
    <mergeCell ref="AC11:AJ12"/>
    <mergeCell ref="AC33:AJ34"/>
    <mergeCell ref="AC31:AJ32"/>
    <mergeCell ref="AC29:AJ30"/>
    <mergeCell ref="AC27:AJ28"/>
    <mergeCell ref="AC25:AJ26"/>
    <mergeCell ref="AC23:AJ24"/>
    <mergeCell ref="AC21:AJ22"/>
    <mergeCell ref="AC19:AJ20"/>
    <mergeCell ref="AC15:AJ16"/>
    <mergeCell ref="AC13:AJ14"/>
    <mergeCell ref="AC43:AJ44"/>
    <mergeCell ref="AC41:AJ42"/>
    <mergeCell ref="AC39:AJ40"/>
    <mergeCell ref="AC37:AJ38"/>
    <mergeCell ref="AC35:AJ36"/>
    <mergeCell ref="AC17:AJ18"/>
    <mergeCell ref="AC7:AJ8"/>
    <mergeCell ref="AN35:AO36"/>
    <mergeCell ref="AN33:AO34"/>
    <mergeCell ref="AN31:AO32"/>
    <mergeCell ref="AN29:AO30"/>
    <mergeCell ref="AN27:AO28"/>
    <mergeCell ref="AN25:AO26"/>
    <mergeCell ref="AN23:AO24"/>
    <mergeCell ref="AN21:AO22"/>
    <mergeCell ref="AN19:AO20"/>
    <mergeCell ref="AN39:AO40"/>
    <mergeCell ref="AN37:AO38"/>
    <mergeCell ref="B52:N53"/>
    <mergeCell ref="B50:N51"/>
    <mergeCell ref="S48:U49"/>
    <mergeCell ref="S50:U51"/>
    <mergeCell ref="S44:U45"/>
    <mergeCell ref="B44:N45"/>
    <mergeCell ref="B46:N47"/>
    <mergeCell ref="B48:N49"/>
    <mergeCell ref="B58:N59"/>
    <mergeCell ref="B56:N57"/>
    <mergeCell ref="R26:X27"/>
    <mergeCell ref="R30:X31"/>
    <mergeCell ref="R34:X35"/>
    <mergeCell ref="R38:X39"/>
    <mergeCell ref="R36:X37"/>
    <mergeCell ref="R32:X33"/>
    <mergeCell ref="R28:X29"/>
    <mergeCell ref="V46:X47"/>
    <mergeCell ref="M4:P5"/>
    <mergeCell ref="U4:X5"/>
    <mergeCell ref="B8:E9"/>
    <mergeCell ref="N8:P9"/>
    <mergeCell ref="E4:H5"/>
    <mergeCell ref="B6:D7"/>
    <mergeCell ref="N6:P7"/>
    <mergeCell ref="E6:M7"/>
    <mergeCell ref="Q4:T5"/>
    <mergeCell ref="R24:X25"/>
    <mergeCell ref="K38:M39"/>
    <mergeCell ref="S42:U43"/>
    <mergeCell ref="O42:Q43"/>
    <mergeCell ref="V42:X43"/>
    <mergeCell ref="B42:N43"/>
    <mergeCell ref="B38:C39"/>
    <mergeCell ref="H32:J33"/>
    <mergeCell ref="D26:F27"/>
    <mergeCell ref="K34:M35"/>
    <mergeCell ref="K36:M37"/>
    <mergeCell ref="H34:J35"/>
    <mergeCell ref="H36:J37"/>
    <mergeCell ref="H24:J25"/>
    <mergeCell ref="H26:J27"/>
    <mergeCell ref="H28:J29"/>
    <mergeCell ref="H30:J31"/>
    <mergeCell ref="N34:P35"/>
    <mergeCell ref="N38:P39"/>
    <mergeCell ref="N36:P37"/>
    <mergeCell ref="D24:F25"/>
    <mergeCell ref="D38:F39"/>
    <mergeCell ref="D36:F37"/>
    <mergeCell ref="D34:F35"/>
    <mergeCell ref="D32:F33"/>
    <mergeCell ref="D30:F31"/>
    <mergeCell ref="D28:F29"/>
    <mergeCell ref="AP23:AQ24"/>
    <mergeCell ref="AP21:AQ22"/>
    <mergeCell ref="AP19:AQ20"/>
    <mergeCell ref="AP17:AQ18"/>
    <mergeCell ref="AK31:AL32"/>
    <mergeCell ref="AK29:AL30"/>
    <mergeCell ref="AK27:AL28"/>
    <mergeCell ref="AK25:AL26"/>
    <mergeCell ref="AK23:AL24"/>
    <mergeCell ref="AK21:AL22"/>
    <mergeCell ref="AK19:AL20"/>
    <mergeCell ref="AK17:AL18"/>
    <mergeCell ref="AK9:AL10"/>
    <mergeCell ref="AT7:AU8"/>
    <mergeCell ref="AT9:AU10"/>
    <mergeCell ref="AT11:AU12"/>
    <mergeCell ref="AP11:AQ12"/>
    <mergeCell ref="AP9:AQ10"/>
    <mergeCell ref="AT19:AU20"/>
    <mergeCell ref="AT21:AU22"/>
    <mergeCell ref="AK13:AL14"/>
    <mergeCell ref="AK11:AL12"/>
    <mergeCell ref="AT13:AU14"/>
    <mergeCell ref="AP15:AQ16"/>
    <mergeCell ref="AP13:AQ14"/>
    <mergeCell ref="AX27:AY28"/>
    <mergeCell ref="AT37:AU38"/>
    <mergeCell ref="AT23:AU24"/>
    <mergeCell ref="AT25:AU26"/>
    <mergeCell ref="AT27:AU28"/>
    <mergeCell ref="AT29:AU30"/>
    <mergeCell ref="AT35:AU36"/>
    <mergeCell ref="AW7:AW44"/>
    <mergeCell ref="AT15:AU16"/>
    <mergeCell ref="AT17:AU18"/>
    <mergeCell ref="BA7:BA44"/>
    <mergeCell ref="AX9:AY10"/>
    <mergeCell ref="AX7:AY8"/>
    <mergeCell ref="AX25:AY26"/>
    <mergeCell ref="AX23:AY24"/>
    <mergeCell ref="AX21:AY22"/>
    <mergeCell ref="AX19:AY20"/>
    <mergeCell ref="AX17:AY18"/>
    <mergeCell ref="AX15:AY16"/>
    <mergeCell ref="AX29:AY30"/>
    <mergeCell ref="BM7:BM44"/>
    <mergeCell ref="AX43:AY44"/>
    <mergeCell ref="AX41:AY42"/>
    <mergeCell ref="AX39:AY40"/>
    <mergeCell ref="AX37:AY38"/>
    <mergeCell ref="AX35:AY36"/>
    <mergeCell ref="AX33:AY34"/>
    <mergeCell ref="AX31:AY32"/>
    <mergeCell ref="BB27:BC28"/>
    <mergeCell ref="BB25:BC26"/>
    <mergeCell ref="BB23:BC24"/>
    <mergeCell ref="BJ29:BK30"/>
    <mergeCell ref="BJ27:BK28"/>
    <mergeCell ref="BJ25:BK26"/>
    <mergeCell ref="BJ23:BK24"/>
    <mergeCell ref="BF27:BG28"/>
    <mergeCell ref="BF23:BG24"/>
    <mergeCell ref="BF25:BG26"/>
    <mergeCell ref="BE7:BE44"/>
    <mergeCell ref="BI7:BI44"/>
    <mergeCell ref="BB21:BC22"/>
    <mergeCell ref="BB19:BC20"/>
    <mergeCell ref="BB17:BC18"/>
    <mergeCell ref="BB15:BC16"/>
    <mergeCell ref="BB13:BC14"/>
    <mergeCell ref="BB11:BC12"/>
    <mergeCell ref="BB9:BC10"/>
    <mergeCell ref="BB7:BC8"/>
    <mergeCell ref="BB43:BC44"/>
    <mergeCell ref="BB41:BC42"/>
    <mergeCell ref="BB39:BC40"/>
    <mergeCell ref="BB37:BC38"/>
    <mergeCell ref="BB35:BC36"/>
    <mergeCell ref="BB33:BC34"/>
    <mergeCell ref="BB31:BC32"/>
    <mergeCell ref="BB29:BC30"/>
    <mergeCell ref="BF43:BG44"/>
    <mergeCell ref="BF41:BG42"/>
    <mergeCell ref="BF39:BG40"/>
    <mergeCell ref="BF37:BG38"/>
    <mergeCell ref="BF35:BG36"/>
    <mergeCell ref="BF33:BG34"/>
    <mergeCell ref="BF31:BG32"/>
    <mergeCell ref="BF29:BG30"/>
    <mergeCell ref="BF21:BG22"/>
    <mergeCell ref="BF19:BG20"/>
    <mergeCell ref="BF17:BG18"/>
    <mergeCell ref="BF15:BG16"/>
    <mergeCell ref="BF13:BG14"/>
    <mergeCell ref="BF11:BG12"/>
    <mergeCell ref="BF9:BG10"/>
    <mergeCell ref="BF7:BG8"/>
    <mergeCell ref="BJ43:BK44"/>
    <mergeCell ref="BJ41:BK42"/>
    <mergeCell ref="BJ39:BK40"/>
    <mergeCell ref="BJ37:BK38"/>
    <mergeCell ref="BJ35:BK36"/>
    <mergeCell ref="BJ33:BK34"/>
    <mergeCell ref="BJ31:BK32"/>
    <mergeCell ref="BJ21:BK22"/>
    <mergeCell ref="BJ19:BK20"/>
    <mergeCell ref="BJ17:BK18"/>
    <mergeCell ref="BJ15:BK16"/>
    <mergeCell ref="BJ13:BK14"/>
    <mergeCell ref="BJ11:BK12"/>
    <mergeCell ref="BJ9:BK10"/>
    <mergeCell ref="BJ7:BK8"/>
    <mergeCell ref="BN43:BO44"/>
    <mergeCell ref="BN41:BO42"/>
    <mergeCell ref="BN39:BO40"/>
    <mergeCell ref="BN37:BO38"/>
    <mergeCell ref="BN35:BO36"/>
    <mergeCell ref="BN33:BO34"/>
    <mergeCell ref="BN31:BO32"/>
    <mergeCell ref="BN15:BO16"/>
    <mergeCell ref="BN29:BO30"/>
    <mergeCell ref="BN27:BO28"/>
    <mergeCell ref="BN25:BO26"/>
    <mergeCell ref="BN23:BO24"/>
    <mergeCell ref="BN21:BO22"/>
    <mergeCell ref="BN19:BO20"/>
    <mergeCell ref="BN17:BO18"/>
    <mergeCell ref="AW3:AY4"/>
    <mergeCell ref="BA3:BG4"/>
    <mergeCell ref="BI3:BO4"/>
    <mergeCell ref="AW5:AY6"/>
    <mergeCell ref="BA5:BG6"/>
    <mergeCell ref="BI5:BO6"/>
    <mergeCell ref="BB56:BO57"/>
    <mergeCell ref="BB58:BO59"/>
    <mergeCell ref="AH50:AR52"/>
    <mergeCell ref="AT3:AU4"/>
    <mergeCell ref="AT56:BA57"/>
    <mergeCell ref="AC5:AJ6"/>
    <mergeCell ref="AT39:AU40"/>
    <mergeCell ref="AT41:AU42"/>
    <mergeCell ref="AT43:AU44"/>
    <mergeCell ref="AT31:AU32"/>
    <mergeCell ref="BN7:BO8"/>
    <mergeCell ref="BN13:BO14"/>
    <mergeCell ref="BN11:BO12"/>
    <mergeCell ref="BN9:BO10"/>
    <mergeCell ref="B62:N63"/>
    <mergeCell ref="B60:N61"/>
    <mergeCell ref="AT5:AU6"/>
    <mergeCell ref="AT62:BA63"/>
    <mergeCell ref="AT52:BA53"/>
    <mergeCell ref="AT58:BA59"/>
    <mergeCell ref="AT60:BA61"/>
    <mergeCell ref="AT33:AU34"/>
    <mergeCell ref="AX13:AY14"/>
    <mergeCell ref="AX11:AY12"/>
    <mergeCell ref="R75:U76"/>
    <mergeCell ref="AT47:BA49"/>
    <mergeCell ref="AT50:BA51"/>
    <mergeCell ref="AH62:AR67"/>
    <mergeCell ref="AH59:AR61"/>
    <mergeCell ref="AH53:AR58"/>
    <mergeCell ref="AT64:BA65"/>
    <mergeCell ref="AT66:BA67"/>
    <mergeCell ref="AT54:BA55"/>
    <mergeCell ref="V52:X53"/>
    <mergeCell ref="E77:F78"/>
    <mergeCell ref="F72:Q74"/>
    <mergeCell ref="G77:G78"/>
    <mergeCell ref="H77:I78"/>
    <mergeCell ref="J77:J78"/>
    <mergeCell ref="K77:L78"/>
    <mergeCell ref="F75:G76"/>
    <mergeCell ref="H75:O76"/>
    <mergeCell ref="P75:Q76"/>
    <mergeCell ref="B72:E74"/>
    <mergeCell ref="X80:Y81"/>
    <mergeCell ref="Z76:AA77"/>
    <mergeCell ref="B75:B76"/>
    <mergeCell ref="C75:E76"/>
    <mergeCell ref="T77:U78"/>
    <mergeCell ref="Z78:AA79"/>
    <mergeCell ref="X76:Y77"/>
    <mergeCell ref="X78:Y79"/>
    <mergeCell ref="B77:C78"/>
    <mergeCell ref="D77:D78"/>
    <mergeCell ref="AD77:AE78"/>
    <mergeCell ref="AF77:AF78"/>
    <mergeCell ref="AG77:AH78"/>
    <mergeCell ref="D82:H83"/>
    <mergeCell ref="I82:K83"/>
    <mergeCell ref="AD82:AE83"/>
    <mergeCell ref="X82:Y83"/>
    <mergeCell ref="M77:S78"/>
    <mergeCell ref="B79:D81"/>
    <mergeCell ref="E79:M81"/>
    <mergeCell ref="AR75:AS76"/>
    <mergeCell ref="AT75:AW76"/>
    <mergeCell ref="AD72:AG74"/>
    <mergeCell ref="AT72:AU74"/>
    <mergeCell ref="AH72:AS74"/>
    <mergeCell ref="B84:I85"/>
    <mergeCell ref="B82:C83"/>
    <mergeCell ref="T79:U81"/>
    <mergeCell ref="R79:S81"/>
    <mergeCell ref="O84:P85"/>
    <mergeCell ref="J84:K85"/>
    <mergeCell ref="L84:N85"/>
    <mergeCell ref="N79:O81"/>
    <mergeCell ref="P79:Q81"/>
    <mergeCell ref="L82:U83"/>
    <mergeCell ref="AL84:AM85"/>
    <mergeCell ref="Z82:AA83"/>
    <mergeCell ref="Q90:AK92"/>
    <mergeCell ref="Q93:U94"/>
    <mergeCell ref="AD84:AK85"/>
    <mergeCell ref="T84:U85"/>
    <mergeCell ref="V76:W85"/>
    <mergeCell ref="AJ77:AK78"/>
    <mergeCell ref="AL77:AL78"/>
    <mergeCell ref="AM77:AN78"/>
    <mergeCell ref="Q109:S110"/>
    <mergeCell ref="V99:W100"/>
    <mergeCell ref="X101:Z102"/>
    <mergeCell ref="V101:W102"/>
    <mergeCell ref="V103:W104"/>
    <mergeCell ref="Q103:R104"/>
    <mergeCell ref="Z109:AB110"/>
    <mergeCell ref="X99:Z100"/>
    <mergeCell ref="X103:Z104"/>
    <mergeCell ref="AC109:AC110"/>
    <mergeCell ref="AD109:AQ110"/>
    <mergeCell ref="T109:V110"/>
    <mergeCell ref="AH99:AI100"/>
    <mergeCell ref="AH101:AI102"/>
    <mergeCell ref="BE87:BG90"/>
    <mergeCell ref="BB95:BC96"/>
    <mergeCell ref="BB97:BC98"/>
    <mergeCell ref="BE102:BN103"/>
    <mergeCell ref="BB99:BC100"/>
    <mergeCell ref="BB101:BC102"/>
    <mergeCell ref="BE91:BG94"/>
    <mergeCell ref="AP90:BC92"/>
    <mergeCell ref="AU99:AW100"/>
    <mergeCell ref="AS103:AT104"/>
    <mergeCell ref="AS99:AT100"/>
    <mergeCell ref="AC97:AE98"/>
    <mergeCell ref="AR109:AT110"/>
    <mergeCell ref="AU109:AW110"/>
    <mergeCell ref="AJ99:AK100"/>
    <mergeCell ref="AU101:AW102"/>
    <mergeCell ref="B107:BC108"/>
    <mergeCell ref="B101:I102"/>
    <mergeCell ref="W109:Y110"/>
    <mergeCell ref="AF95:AG104"/>
    <mergeCell ref="AS84:AU85"/>
    <mergeCell ref="AU97:AW98"/>
    <mergeCell ref="AM95:AR96"/>
    <mergeCell ref="AX109:AZ110"/>
    <mergeCell ref="AZ101:BA102"/>
    <mergeCell ref="AZ99:BA100"/>
    <mergeCell ref="BA109:BC110"/>
    <mergeCell ref="AM99:AR100"/>
    <mergeCell ref="AM103:AR104"/>
    <mergeCell ref="AM101:AR102"/>
    <mergeCell ref="AH95:AI96"/>
    <mergeCell ref="AH97:AI98"/>
    <mergeCell ref="AP93:AR94"/>
    <mergeCell ref="AS97:AT98"/>
    <mergeCell ref="AS93:AW94"/>
    <mergeCell ref="AJ95:AK96"/>
    <mergeCell ref="AJ97:AK98"/>
    <mergeCell ref="K99:P100"/>
    <mergeCell ref="K101:P102"/>
    <mergeCell ref="AA101:AB102"/>
    <mergeCell ref="AA95:AB96"/>
    <mergeCell ref="Q101:R102"/>
    <mergeCell ref="S101:U102"/>
    <mergeCell ref="AA99:AB100"/>
    <mergeCell ref="AA97:AB98"/>
    <mergeCell ref="S97:U98"/>
    <mergeCell ref="S99:U100"/>
    <mergeCell ref="BB76:BC77"/>
    <mergeCell ref="BB80:BC81"/>
    <mergeCell ref="AZ82:BA83"/>
    <mergeCell ref="BB82:BC83"/>
    <mergeCell ref="AZ76:BA77"/>
    <mergeCell ref="AZ78:BA79"/>
    <mergeCell ref="BB78:BC79"/>
    <mergeCell ref="AZ80:BA81"/>
    <mergeCell ref="B97:I98"/>
    <mergeCell ref="B95:I96"/>
    <mergeCell ref="AA93:AE94"/>
    <mergeCell ref="K97:P98"/>
    <mergeCell ref="AC95:AE96"/>
    <mergeCell ref="V95:W96"/>
    <mergeCell ref="S95:U96"/>
    <mergeCell ref="X95:Z96"/>
    <mergeCell ref="V97:W98"/>
    <mergeCell ref="K95:P96"/>
    <mergeCell ref="B99:I100"/>
    <mergeCell ref="AM93:AO94"/>
    <mergeCell ref="V93:Z94"/>
    <mergeCell ref="AZ84:BA85"/>
    <mergeCell ref="AX76:AY85"/>
    <mergeCell ref="AV77:AW78"/>
    <mergeCell ref="AT79:AU81"/>
    <mergeCell ref="AN84:AP85"/>
    <mergeCell ref="AQ84:AR85"/>
    <mergeCell ref="AM90:AO92"/>
    <mergeCell ref="X97:Z98"/>
    <mergeCell ref="AJ101:AK102"/>
    <mergeCell ref="AH103:AI104"/>
    <mergeCell ref="AM97:AR98"/>
    <mergeCell ref="AC101:AE102"/>
    <mergeCell ref="AC103:AE104"/>
    <mergeCell ref="AC99:AE100"/>
    <mergeCell ref="AU103:AW104"/>
    <mergeCell ref="AS101:AT102"/>
    <mergeCell ref="B103:I104"/>
    <mergeCell ref="AJ103:AK104"/>
    <mergeCell ref="K103:P104"/>
    <mergeCell ref="BB103:BC104"/>
    <mergeCell ref="AA103:AB104"/>
    <mergeCell ref="BB84:BC85"/>
    <mergeCell ref="B88:BC89"/>
    <mergeCell ref="N93:P94"/>
    <mergeCell ref="B93:I94"/>
    <mergeCell ref="B90:I92"/>
    <mergeCell ref="X84:Y85"/>
    <mergeCell ref="Z84:AA85"/>
    <mergeCell ref="K90:P92"/>
    <mergeCell ref="K93:M94"/>
    <mergeCell ref="AV84:AW85"/>
    <mergeCell ref="Q117:S119"/>
    <mergeCell ref="T117:V119"/>
    <mergeCell ref="W117:Y119"/>
    <mergeCell ref="Z117:AB119"/>
    <mergeCell ref="AU95:AW96"/>
    <mergeCell ref="AR114:AT115"/>
    <mergeCell ref="AU114:AW115"/>
    <mergeCell ref="AS95:AT96"/>
    <mergeCell ref="AX95:AY104"/>
    <mergeCell ref="AZ95:BA96"/>
    <mergeCell ref="AZ97:BA98"/>
    <mergeCell ref="AZ103:BA104"/>
    <mergeCell ref="BO77:BP78"/>
    <mergeCell ref="BM77:BN78"/>
    <mergeCell ref="BE100:BP101"/>
    <mergeCell ref="BE95:BP96"/>
    <mergeCell ref="BE97:BP98"/>
    <mergeCell ref="BO83:BP84"/>
    <mergeCell ref="BH85:BH86"/>
    <mergeCell ref="BI85:BJ86"/>
    <mergeCell ref="BK85:BL86"/>
    <mergeCell ref="BG77:BJ78"/>
    <mergeCell ref="C109:P110"/>
    <mergeCell ref="B109:B110"/>
    <mergeCell ref="B117:B119"/>
    <mergeCell ref="C117:P119"/>
    <mergeCell ref="B120:B122"/>
    <mergeCell ref="C120:P122"/>
    <mergeCell ref="B123:B125"/>
    <mergeCell ref="C123:P125"/>
    <mergeCell ref="B129:B131"/>
    <mergeCell ref="C129:P131"/>
    <mergeCell ref="B126:B128"/>
    <mergeCell ref="C126:P128"/>
    <mergeCell ref="Q126:S128"/>
    <mergeCell ref="T126:V128"/>
    <mergeCell ref="Q129:S131"/>
    <mergeCell ref="T129:V131"/>
    <mergeCell ref="W129:Y131"/>
    <mergeCell ref="BK77:BL78"/>
    <mergeCell ref="BE83:BG86"/>
    <mergeCell ref="BE77:BF78"/>
    <mergeCell ref="BH83:BH84"/>
    <mergeCell ref="BI83:BJ84"/>
    <mergeCell ref="BK83:BK84"/>
    <mergeCell ref="BL79:BM80"/>
    <mergeCell ref="BH79:BH80"/>
    <mergeCell ref="BI79:BJ80"/>
    <mergeCell ref="BK79:BK80"/>
    <mergeCell ref="AX114:AZ115"/>
    <mergeCell ref="BA114:BC115"/>
    <mergeCell ref="AR111:AT113"/>
    <mergeCell ref="BA111:BC113"/>
    <mergeCell ref="BE114:BP115"/>
    <mergeCell ref="BI87:BJ88"/>
    <mergeCell ref="AV79:AW81"/>
    <mergeCell ref="BH89:BH90"/>
    <mergeCell ref="BI89:BJ90"/>
    <mergeCell ref="Z123:AB125"/>
    <mergeCell ref="AU111:AW113"/>
    <mergeCell ref="AX111:AZ113"/>
    <mergeCell ref="AR116:AT117"/>
    <mergeCell ref="Z111:AB113"/>
    <mergeCell ref="AC114:AC115"/>
    <mergeCell ref="AD114:AQ115"/>
    <mergeCell ref="AC111:AC113"/>
    <mergeCell ref="AD111:AQ113"/>
    <mergeCell ref="AC116:AC117"/>
    <mergeCell ref="AU116:AW117"/>
    <mergeCell ref="AX118:AZ119"/>
    <mergeCell ref="BA118:BC119"/>
    <mergeCell ref="AU118:AW119"/>
    <mergeCell ref="AX116:AZ117"/>
    <mergeCell ref="BA116:BC117"/>
    <mergeCell ref="AD116:AQ117"/>
    <mergeCell ref="AC118:AC119"/>
    <mergeCell ref="AD118:AQ119"/>
    <mergeCell ref="AR118:AT119"/>
    <mergeCell ref="AC124:AC125"/>
    <mergeCell ref="AD124:AQ125"/>
    <mergeCell ref="AC120:AC121"/>
    <mergeCell ref="AD120:AQ121"/>
    <mergeCell ref="AC122:AC123"/>
    <mergeCell ref="AD122:AQ123"/>
    <mergeCell ref="BA120:BC121"/>
    <mergeCell ref="AX122:AZ123"/>
    <mergeCell ref="AX120:AZ121"/>
    <mergeCell ref="BA122:BC123"/>
    <mergeCell ref="AR124:AT125"/>
    <mergeCell ref="AU124:AW125"/>
    <mergeCell ref="AR120:AT121"/>
    <mergeCell ref="AU120:AW121"/>
    <mergeCell ref="AR122:AT123"/>
    <mergeCell ref="AU122:AW123"/>
    <mergeCell ref="AX124:AZ125"/>
    <mergeCell ref="BA124:BC125"/>
    <mergeCell ref="AX128:AZ129"/>
    <mergeCell ref="BA128:BC129"/>
    <mergeCell ref="AX126:AZ127"/>
    <mergeCell ref="BE75:BF76"/>
    <mergeCell ref="BG75:BH76"/>
    <mergeCell ref="BE118:BP119"/>
    <mergeCell ref="BN79:BN80"/>
    <mergeCell ref="BO79:BP80"/>
    <mergeCell ref="BH81:BH82"/>
    <mergeCell ref="BI81:BJ82"/>
    <mergeCell ref="BK81:BK82"/>
    <mergeCell ref="BE79:BG82"/>
    <mergeCell ref="BN83:BN84"/>
    <mergeCell ref="BM93:BN94"/>
    <mergeCell ref="BK91:BK92"/>
    <mergeCell ref="BI91:BJ92"/>
    <mergeCell ref="BH91:BH92"/>
    <mergeCell ref="BI70:BP72"/>
    <mergeCell ref="BE73:BF74"/>
    <mergeCell ref="BG73:BH74"/>
    <mergeCell ref="BI73:BJ74"/>
    <mergeCell ref="BK73:BL74"/>
    <mergeCell ref="BM73:BN74"/>
    <mergeCell ref="BO73:BP74"/>
    <mergeCell ref="BE70:BH72"/>
    <mergeCell ref="AC130:AT131"/>
    <mergeCell ref="AU130:AW131"/>
    <mergeCell ref="AX130:AZ131"/>
    <mergeCell ref="BA130:BC131"/>
    <mergeCell ref="AC128:AC129"/>
    <mergeCell ref="AD128:AQ129"/>
    <mergeCell ref="AR128:AT129"/>
    <mergeCell ref="BA126:BC127"/>
    <mergeCell ref="AR126:AT127"/>
    <mergeCell ref="AU126:AW127"/>
    <mergeCell ref="AU128:AW129"/>
    <mergeCell ref="AC126:AC127"/>
    <mergeCell ref="AD126:AQ127"/>
    <mergeCell ref="BE128:BP129"/>
    <mergeCell ref="BE130:BP131"/>
    <mergeCell ref="BE120:BP121"/>
    <mergeCell ref="BE122:BP123"/>
    <mergeCell ref="BE124:BP125"/>
    <mergeCell ref="BE126:BP127"/>
    <mergeCell ref="BE116:BP117"/>
    <mergeCell ref="BB47:BO49"/>
    <mergeCell ref="BB50:BO51"/>
    <mergeCell ref="BB52:BO53"/>
    <mergeCell ref="BB54:BO55"/>
    <mergeCell ref="BB60:BO61"/>
    <mergeCell ref="BB62:BO63"/>
    <mergeCell ref="BB64:BO65"/>
    <mergeCell ref="BB66:BO67"/>
    <mergeCell ref="BI75:BJ76"/>
    <mergeCell ref="BK75:BL76"/>
    <mergeCell ref="BM75:BN76"/>
    <mergeCell ref="BP89:BP90"/>
    <mergeCell ref="BO87:BP88"/>
    <mergeCell ref="BN87:BN88"/>
    <mergeCell ref="BL83:BM84"/>
    <mergeCell ref="BL81:BP82"/>
    <mergeCell ref="BO75:BP76"/>
    <mergeCell ref="BK89:BL90"/>
    <mergeCell ref="BK87:BK88"/>
    <mergeCell ref="AF82:AJ83"/>
    <mergeCell ref="AK82:AM83"/>
    <mergeCell ref="AN82:AW83"/>
    <mergeCell ref="AD79:AF81"/>
    <mergeCell ref="AG79:AO81"/>
    <mergeCell ref="AP79:AQ81"/>
    <mergeCell ref="AR79:AS81"/>
    <mergeCell ref="BH87:BH88"/>
    <mergeCell ref="BL87:BM88"/>
    <mergeCell ref="BO93:BO94"/>
    <mergeCell ref="BP93:BP94"/>
    <mergeCell ref="BO91:BP92"/>
    <mergeCell ref="BH93:BH94"/>
    <mergeCell ref="BI93:BJ94"/>
    <mergeCell ref="BK93:BL94"/>
    <mergeCell ref="BL91:BM92"/>
    <mergeCell ref="BN91:BN92"/>
    <mergeCell ref="R72:S74"/>
    <mergeCell ref="AX72:BA73"/>
    <mergeCell ref="BB72:BB73"/>
    <mergeCell ref="BM85:BN86"/>
    <mergeCell ref="AI77:AI78"/>
    <mergeCell ref="Z80:AA81"/>
    <mergeCell ref="V72:Y73"/>
    <mergeCell ref="Z72:Z73"/>
    <mergeCell ref="AV72:AW74"/>
    <mergeCell ref="T72:U74"/>
    <mergeCell ref="BO85:BO86"/>
    <mergeCell ref="BP85:BP86"/>
    <mergeCell ref="BM89:BN90"/>
    <mergeCell ref="BO89:BO90"/>
    <mergeCell ref="AA2:AE3"/>
    <mergeCell ref="AF2:AR3"/>
    <mergeCell ref="AH47:AR49"/>
    <mergeCell ref="AO77:AU78"/>
    <mergeCell ref="AD75:AD76"/>
    <mergeCell ref="AE75:AG76"/>
    <mergeCell ref="AH75:AI76"/>
    <mergeCell ref="AJ75:AQ76"/>
    <mergeCell ref="AD70:BC71"/>
    <mergeCell ref="B70:AA71"/>
  </mergeCells>
  <conditionalFormatting sqref="R26">
    <cfRule type="expression" priority="1" dxfId="0" stopIfTrue="1">
      <formula>$R$26&lt;$S$44/2</formula>
    </cfRule>
    <cfRule type="expression" priority="2" dxfId="1" stopIfTrue="1">
      <formula>$R$26&lt;$S$44/4</formula>
    </cfRule>
  </conditionalFormatting>
  <printOptions horizontalCentered="1"/>
  <pageMargins left="0.25" right="0.25" top="0.75" bottom="0.25" header="0.25" footer="0.25"/>
  <pageSetup fitToHeight="1" fitToWidth="1" horizontalDpi="600" verticalDpi="600" orientation="landscape" scale="51" r:id="rId3"/>
  <headerFooter alignWithMargins="0">
    <oddHeader>&amp;C&amp;20FALLOUT PNP RPG - ЛИСТ ПЕРСОНАЖА - ЧАСТЬ 1</oddHead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32"/>
  <sheetViews>
    <sheetView showGridLines="0" zoomScale="92" zoomScaleNormal="92" workbookViewId="0" topLeftCell="A1">
      <selection activeCell="Y5" sqref="Y5"/>
    </sheetView>
  </sheetViews>
  <sheetFormatPr defaultColWidth="9.140625" defaultRowHeight="7.5" customHeight="1"/>
  <cols>
    <col min="1" max="5" width="2.7109375" style="10" customWidth="1"/>
    <col min="6" max="6" width="2.7109375" style="11" customWidth="1"/>
    <col min="7" max="48" width="2.7109375" style="10" customWidth="1"/>
    <col min="49" max="49" width="3.7109375" style="10" customWidth="1"/>
    <col min="50" max="51" width="2.7109375" style="10" customWidth="1"/>
    <col min="52" max="52" width="3.8515625" style="10" customWidth="1"/>
    <col min="53" max="16384" width="2.7109375" style="10" customWidth="1"/>
  </cols>
  <sheetData>
    <row r="1" spans="1:81" ht="7.5" customHeight="1" thickBot="1">
      <c r="A1" s="9"/>
      <c r="B1" s="12"/>
      <c r="C1" s="12"/>
      <c r="D1" s="12"/>
      <c r="E1" s="12"/>
      <c r="F1" s="27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8"/>
      <c r="Z1" s="34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39"/>
      <c r="AU1" s="12"/>
      <c r="AV1" s="12"/>
      <c r="AW1" s="40"/>
      <c r="AX1" s="40"/>
      <c r="AY1" s="40"/>
      <c r="AZ1" s="40"/>
      <c r="BA1" s="40"/>
      <c r="BB1" s="40"/>
      <c r="BC1" s="40"/>
      <c r="BD1" s="40"/>
      <c r="BE1" s="12"/>
      <c r="BF1" s="12"/>
      <c r="BG1" s="12"/>
      <c r="BH1" s="40"/>
      <c r="BI1" s="40"/>
      <c r="BJ1" s="12"/>
      <c r="BK1" s="12"/>
      <c r="BL1" s="12"/>
      <c r="BM1" s="12"/>
      <c r="BN1" s="12"/>
      <c r="BO1" s="12"/>
      <c r="BP1" s="12"/>
      <c r="BQ1" s="28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</row>
    <row r="2" spans="1:70" ht="7.5" customHeight="1" thickBot="1">
      <c r="A2" s="16"/>
      <c r="B2" s="484" t="s">
        <v>64</v>
      </c>
      <c r="C2" s="484"/>
      <c r="D2" s="484"/>
      <c r="E2" s="484"/>
      <c r="F2" s="484"/>
      <c r="G2" s="484"/>
      <c r="H2" s="484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29"/>
      <c r="Z2" s="19"/>
      <c r="AA2" s="189" t="s">
        <v>931</v>
      </c>
      <c r="AB2" s="190"/>
      <c r="AC2" s="190"/>
      <c r="AD2" s="190"/>
      <c r="AE2" s="190"/>
      <c r="AF2" s="193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5"/>
      <c r="AS2" s="13"/>
      <c r="AT2" s="13"/>
      <c r="AU2" s="13"/>
      <c r="AV2" s="13"/>
      <c r="AW2" s="13"/>
      <c r="AX2" s="14"/>
      <c r="AY2" s="14"/>
      <c r="AZ2" s="14"/>
      <c r="BA2" s="14"/>
      <c r="BB2" s="14"/>
      <c r="BC2" s="13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3"/>
      <c r="BQ2" s="29"/>
      <c r="BR2" s="13"/>
    </row>
    <row r="3" spans="1:70" ht="7.5" customHeight="1" thickBot="1">
      <c r="A3" s="16"/>
      <c r="B3" s="484"/>
      <c r="C3" s="484"/>
      <c r="D3" s="484"/>
      <c r="E3" s="484"/>
      <c r="F3" s="484"/>
      <c r="G3" s="484"/>
      <c r="H3" s="484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29"/>
      <c r="Z3" s="19"/>
      <c r="AA3" s="191"/>
      <c r="AB3" s="192"/>
      <c r="AC3" s="192"/>
      <c r="AD3" s="192"/>
      <c r="AE3" s="192"/>
      <c r="AF3" s="182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4"/>
      <c r="AS3" s="13"/>
      <c r="AT3" s="415" t="s">
        <v>274</v>
      </c>
      <c r="AU3" s="416"/>
      <c r="AV3" s="13"/>
      <c r="AW3" s="423" t="s">
        <v>305</v>
      </c>
      <c r="AX3" s="424"/>
      <c r="AY3" s="425"/>
      <c r="AZ3" s="14"/>
      <c r="BA3" s="423" t="s">
        <v>113</v>
      </c>
      <c r="BB3" s="424"/>
      <c r="BC3" s="424"/>
      <c r="BD3" s="424"/>
      <c r="BE3" s="424"/>
      <c r="BF3" s="424"/>
      <c r="BG3" s="425"/>
      <c r="BH3" s="14"/>
      <c r="BI3" s="423" t="s">
        <v>306</v>
      </c>
      <c r="BJ3" s="424"/>
      <c r="BK3" s="424"/>
      <c r="BL3" s="424"/>
      <c r="BM3" s="424"/>
      <c r="BN3" s="424"/>
      <c r="BO3" s="425"/>
      <c r="BP3" s="13"/>
      <c r="BQ3" s="29"/>
      <c r="BR3" s="13"/>
    </row>
    <row r="4" spans="1:70" ht="7.5" customHeight="1" thickBot="1">
      <c r="A4" s="16"/>
      <c r="B4" s="377" t="s">
        <v>65</v>
      </c>
      <c r="C4" s="377"/>
      <c r="D4" s="377"/>
      <c r="E4" s="227"/>
      <c r="F4" s="227"/>
      <c r="G4" s="227"/>
      <c r="H4" s="227"/>
      <c r="I4" s="377" t="s">
        <v>66</v>
      </c>
      <c r="J4" s="377"/>
      <c r="K4" s="377"/>
      <c r="L4" s="377"/>
      <c r="M4" s="413"/>
      <c r="N4" s="413"/>
      <c r="O4" s="413"/>
      <c r="P4" s="413"/>
      <c r="Q4" s="377" t="s">
        <v>70</v>
      </c>
      <c r="R4" s="377"/>
      <c r="S4" s="377"/>
      <c r="T4" s="377"/>
      <c r="U4" s="413"/>
      <c r="V4" s="413"/>
      <c r="W4" s="413"/>
      <c r="X4" s="413"/>
      <c r="Y4" s="29"/>
      <c r="Z4" s="19"/>
      <c r="AA4" s="15"/>
      <c r="AB4" s="15"/>
      <c r="AC4" s="15"/>
      <c r="AD4" s="15"/>
      <c r="AE4" s="15"/>
      <c r="AF4" s="15"/>
      <c r="AG4" s="15"/>
      <c r="AH4" s="15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417"/>
      <c r="AU4" s="418"/>
      <c r="AV4" s="13"/>
      <c r="AW4" s="426"/>
      <c r="AX4" s="427"/>
      <c r="AY4" s="428"/>
      <c r="AZ4" s="13"/>
      <c r="BA4" s="426"/>
      <c r="BB4" s="427"/>
      <c r="BC4" s="427"/>
      <c r="BD4" s="427"/>
      <c r="BE4" s="427"/>
      <c r="BF4" s="427"/>
      <c r="BG4" s="428"/>
      <c r="BH4" s="13"/>
      <c r="BI4" s="426"/>
      <c r="BJ4" s="427"/>
      <c r="BK4" s="427"/>
      <c r="BL4" s="427"/>
      <c r="BM4" s="427"/>
      <c r="BN4" s="427"/>
      <c r="BO4" s="428"/>
      <c r="BP4" s="13"/>
      <c r="BQ4" s="29"/>
      <c r="BR4" s="13"/>
    </row>
    <row r="5" spans="1:70" ht="7.5" customHeight="1">
      <c r="A5" s="16"/>
      <c r="B5" s="377"/>
      <c r="C5" s="377"/>
      <c r="D5" s="377"/>
      <c r="E5" s="227"/>
      <c r="F5" s="227"/>
      <c r="G5" s="227"/>
      <c r="H5" s="227"/>
      <c r="I5" s="377"/>
      <c r="J5" s="377"/>
      <c r="K5" s="377"/>
      <c r="L5" s="377"/>
      <c r="M5" s="413"/>
      <c r="N5" s="413"/>
      <c r="O5" s="413"/>
      <c r="P5" s="413"/>
      <c r="Q5" s="377"/>
      <c r="R5" s="377"/>
      <c r="S5" s="377"/>
      <c r="T5" s="377"/>
      <c r="U5" s="413"/>
      <c r="V5" s="413"/>
      <c r="W5" s="413"/>
      <c r="X5" s="413"/>
      <c r="Y5" s="29"/>
      <c r="Z5" s="19"/>
      <c r="AA5" s="17"/>
      <c r="AB5" s="17"/>
      <c r="AC5" s="419" t="s">
        <v>73</v>
      </c>
      <c r="AD5" s="420"/>
      <c r="AE5" s="420"/>
      <c r="AF5" s="420"/>
      <c r="AG5" s="420"/>
      <c r="AH5" s="420"/>
      <c r="AI5" s="420"/>
      <c r="AJ5" s="420"/>
      <c r="AK5" s="474" t="s">
        <v>222</v>
      </c>
      <c r="AL5" s="475"/>
      <c r="AM5" s="13"/>
      <c r="AN5" s="415" t="s">
        <v>74</v>
      </c>
      <c r="AO5" s="442"/>
      <c r="AP5" s="479" t="s">
        <v>8</v>
      </c>
      <c r="AQ5" s="416"/>
      <c r="AR5" s="13"/>
      <c r="AS5" s="13"/>
      <c r="AT5" s="409" t="s">
        <v>275</v>
      </c>
      <c r="AU5" s="410"/>
      <c r="AV5" s="13"/>
      <c r="AW5" s="429">
        <f>IF(M20&gt;0,M20*(B16-1),0)</f>
        <v>0</v>
      </c>
      <c r="AX5" s="429"/>
      <c r="AY5" s="429"/>
      <c r="AZ5" s="5"/>
      <c r="BA5" s="431">
        <f>SUM(AX7:AY44,BB7:BC44,BF7:BG44,BJ7:BK44,BN7:BO44)</f>
        <v>0</v>
      </c>
      <c r="BB5" s="431"/>
      <c r="BC5" s="431"/>
      <c r="BD5" s="431"/>
      <c r="BE5" s="431"/>
      <c r="BF5" s="431"/>
      <c r="BG5" s="431"/>
      <c r="BH5" s="5"/>
      <c r="BI5" s="431">
        <f>AW5-BA5</f>
        <v>0</v>
      </c>
      <c r="BJ5" s="431"/>
      <c r="BK5" s="431"/>
      <c r="BL5" s="431"/>
      <c r="BM5" s="431"/>
      <c r="BN5" s="431"/>
      <c r="BO5" s="431"/>
      <c r="BP5" s="13"/>
      <c r="BQ5" s="29"/>
      <c r="BR5" s="13"/>
    </row>
    <row r="6" spans="1:70" ht="9" customHeight="1" thickBot="1">
      <c r="A6" s="16"/>
      <c r="B6" s="377" t="s">
        <v>68</v>
      </c>
      <c r="C6" s="377"/>
      <c r="D6" s="377"/>
      <c r="E6" s="466"/>
      <c r="F6" s="466"/>
      <c r="G6" s="466"/>
      <c r="H6" s="466"/>
      <c r="I6" s="466"/>
      <c r="J6" s="466"/>
      <c r="K6" s="466"/>
      <c r="L6" s="466"/>
      <c r="M6" s="466"/>
      <c r="N6" s="377" t="s">
        <v>69</v>
      </c>
      <c r="O6" s="377"/>
      <c r="P6" s="377"/>
      <c r="Q6" s="407"/>
      <c r="R6" s="407"/>
      <c r="S6" s="407"/>
      <c r="T6" s="407"/>
      <c r="U6" s="407"/>
      <c r="V6" s="407"/>
      <c r="W6" s="407"/>
      <c r="X6" s="407"/>
      <c r="Y6" s="29"/>
      <c r="Z6" s="19"/>
      <c r="AA6" s="17"/>
      <c r="AB6" s="17"/>
      <c r="AC6" s="421"/>
      <c r="AD6" s="422"/>
      <c r="AE6" s="422"/>
      <c r="AF6" s="422"/>
      <c r="AG6" s="422"/>
      <c r="AH6" s="422"/>
      <c r="AI6" s="422"/>
      <c r="AJ6" s="422"/>
      <c r="AK6" s="476"/>
      <c r="AL6" s="477"/>
      <c r="AM6" s="13"/>
      <c r="AN6" s="443"/>
      <c r="AO6" s="444"/>
      <c r="AP6" s="480"/>
      <c r="AQ6" s="418"/>
      <c r="AR6" s="13"/>
      <c r="AS6" s="13"/>
      <c r="AT6" s="411"/>
      <c r="AU6" s="412"/>
      <c r="AV6" s="13"/>
      <c r="AW6" s="430"/>
      <c r="AX6" s="430"/>
      <c r="AY6" s="430"/>
      <c r="AZ6" s="5"/>
      <c r="BA6" s="432"/>
      <c r="BB6" s="432"/>
      <c r="BC6" s="432"/>
      <c r="BD6" s="432"/>
      <c r="BE6" s="432"/>
      <c r="BF6" s="432"/>
      <c r="BG6" s="432"/>
      <c r="BH6" s="5"/>
      <c r="BI6" s="432"/>
      <c r="BJ6" s="432"/>
      <c r="BK6" s="432"/>
      <c r="BL6" s="432"/>
      <c r="BM6" s="432"/>
      <c r="BN6" s="432"/>
      <c r="BO6" s="432"/>
      <c r="BP6" s="13"/>
      <c r="BQ6" s="29"/>
      <c r="BR6" s="13"/>
    </row>
    <row r="7" spans="1:70" ht="8.25" customHeight="1">
      <c r="A7" s="16"/>
      <c r="B7" s="377"/>
      <c r="C7" s="377"/>
      <c r="D7" s="377"/>
      <c r="E7" s="466"/>
      <c r="F7" s="466"/>
      <c r="G7" s="466"/>
      <c r="H7" s="466"/>
      <c r="I7" s="466"/>
      <c r="J7" s="466"/>
      <c r="K7" s="466"/>
      <c r="L7" s="466"/>
      <c r="M7" s="466"/>
      <c r="N7" s="377"/>
      <c r="O7" s="377"/>
      <c r="P7" s="377"/>
      <c r="Q7" s="407"/>
      <c r="R7" s="407"/>
      <c r="S7" s="407"/>
      <c r="T7" s="407"/>
      <c r="U7" s="407"/>
      <c r="V7" s="407"/>
      <c r="W7" s="407"/>
      <c r="X7" s="407"/>
      <c r="Y7" s="29"/>
      <c r="Z7" s="19"/>
      <c r="AA7" s="15"/>
      <c r="AB7" s="15"/>
      <c r="AC7" s="286" t="s">
        <v>256</v>
      </c>
      <c r="AD7" s="286"/>
      <c r="AE7" s="286"/>
      <c r="AF7" s="286"/>
      <c r="AG7" s="286"/>
      <c r="AH7" s="286"/>
      <c r="AI7" s="286"/>
      <c r="AJ7" s="286"/>
      <c r="AK7" s="478">
        <f>SUM(AN7:AQ8)+IF(Таблицы!AS35=1,Таблицы!AS32,0)+AT7</f>
        <v>25</v>
      </c>
      <c r="AL7" s="478"/>
      <c r="AM7" s="13"/>
      <c r="AN7" s="287">
        <f>IF(D36=0,"",5+(D36*4)+Таблицы!M69+Таблицы!U69)</f>
        <v>25</v>
      </c>
      <c r="AO7" s="287"/>
      <c r="AP7" s="481"/>
      <c r="AQ7" s="481"/>
      <c r="AR7" s="13"/>
      <c r="AS7" s="13"/>
      <c r="AT7" s="287">
        <f>IF(Таблицы!M69=20,SUM(AX7*2,BB7*2/2,INT(BF7*2/3),INT(BJ7*2/4),INT(BN7*2/5)),SUM(AX7,INT(BB7/2),INT(BF7/3),INT(BJ7/4),INT(BN7/5)))</f>
        <v>0</v>
      </c>
      <c r="AU7" s="287"/>
      <c r="AV7" s="13"/>
      <c r="AW7" s="433" t="s">
        <v>108</v>
      </c>
      <c r="AX7" s="414"/>
      <c r="AY7" s="414"/>
      <c r="AZ7" s="13"/>
      <c r="BA7" s="433" t="s">
        <v>109</v>
      </c>
      <c r="BB7" s="414"/>
      <c r="BC7" s="414"/>
      <c r="BD7" s="13"/>
      <c r="BE7" s="433" t="s">
        <v>110</v>
      </c>
      <c r="BF7" s="414"/>
      <c r="BG7" s="414"/>
      <c r="BH7" s="13"/>
      <c r="BI7" s="433" t="s">
        <v>111</v>
      </c>
      <c r="BJ7" s="414"/>
      <c r="BK7" s="414"/>
      <c r="BL7" s="13"/>
      <c r="BM7" s="433" t="s">
        <v>112</v>
      </c>
      <c r="BN7" s="414"/>
      <c r="BO7" s="414"/>
      <c r="BP7" s="13"/>
      <c r="BQ7" s="29"/>
      <c r="BR7" s="13"/>
    </row>
    <row r="8" spans="1:70" ht="7.5" customHeight="1">
      <c r="A8" s="16"/>
      <c r="B8" s="377" t="s">
        <v>71</v>
      </c>
      <c r="C8" s="377"/>
      <c r="D8" s="377"/>
      <c r="E8" s="377"/>
      <c r="F8" s="466"/>
      <c r="G8" s="466"/>
      <c r="H8" s="466"/>
      <c r="I8" s="466"/>
      <c r="J8" s="466"/>
      <c r="K8" s="466"/>
      <c r="L8" s="466"/>
      <c r="M8" s="466"/>
      <c r="N8" s="377" t="s">
        <v>67</v>
      </c>
      <c r="O8" s="377"/>
      <c r="P8" s="377"/>
      <c r="Q8" s="466"/>
      <c r="R8" s="466"/>
      <c r="S8" s="466"/>
      <c r="T8" s="466"/>
      <c r="U8" s="466"/>
      <c r="V8" s="466"/>
      <c r="W8" s="466"/>
      <c r="X8" s="466"/>
      <c r="Y8" s="29"/>
      <c r="Z8" s="19"/>
      <c r="AA8" s="15"/>
      <c r="AB8" s="15"/>
      <c r="AC8" s="172"/>
      <c r="AD8" s="172"/>
      <c r="AE8" s="172"/>
      <c r="AF8" s="172"/>
      <c r="AG8" s="172"/>
      <c r="AH8" s="172"/>
      <c r="AI8" s="172"/>
      <c r="AJ8" s="172"/>
      <c r="AK8" s="435"/>
      <c r="AL8" s="435"/>
      <c r="AM8" s="13"/>
      <c r="AN8" s="228"/>
      <c r="AO8" s="228"/>
      <c r="AP8" s="436"/>
      <c r="AQ8" s="436"/>
      <c r="AR8" s="15"/>
      <c r="AS8" s="15"/>
      <c r="AT8" s="228"/>
      <c r="AU8" s="228"/>
      <c r="AV8" s="13"/>
      <c r="AW8" s="434"/>
      <c r="AX8" s="413"/>
      <c r="AY8" s="413"/>
      <c r="AZ8" s="13"/>
      <c r="BA8" s="434"/>
      <c r="BB8" s="413"/>
      <c r="BC8" s="413"/>
      <c r="BD8" s="13"/>
      <c r="BE8" s="434"/>
      <c r="BF8" s="413"/>
      <c r="BG8" s="413"/>
      <c r="BH8" s="13"/>
      <c r="BI8" s="434"/>
      <c r="BJ8" s="413"/>
      <c r="BK8" s="413"/>
      <c r="BL8" s="13"/>
      <c r="BM8" s="434"/>
      <c r="BN8" s="413"/>
      <c r="BO8" s="413"/>
      <c r="BP8" s="13"/>
      <c r="BQ8" s="29"/>
      <c r="BR8" s="13"/>
    </row>
    <row r="9" spans="1:70" ht="7.5" customHeight="1">
      <c r="A9" s="16"/>
      <c r="B9" s="377"/>
      <c r="C9" s="377"/>
      <c r="D9" s="377"/>
      <c r="E9" s="377"/>
      <c r="F9" s="466"/>
      <c r="G9" s="466"/>
      <c r="H9" s="466"/>
      <c r="I9" s="466"/>
      <c r="J9" s="466"/>
      <c r="K9" s="466"/>
      <c r="L9" s="466"/>
      <c r="M9" s="466"/>
      <c r="N9" s="377"/>
      <c r="O9" s="377"/>
      <c r="P9" s="377"/>
      <c r="Q9" s="466"/>
      <c r="R9" s="466"/>
      <c r="S9" s="466"/>
      <c r="T9" s="466"/>
      <c r="U9" s="466"/>
      <c r="V9" s="466"/>
      <c r="W9" s="466"/>
      <c r="X9" s="466"/>
      <c r="Y9" s="29"/>
      <c r="Z9" s="19"/>
      <c r="AA9" s="15"/>
      <c r="AB9" s="15"/>
      <c r="AC9" s="172" t="s">
        <v>255</v>
      </c>
      <c r="AD9" s="172"/>
      <c r="AE9" s="172"/>
      <c r="AF9" s="172"/>
      <c r="AG9" s="172"/>
      <c r="AH9" s="172"/>
      <c r="AI9" s="172"/>
      <c r="AJ9" s="172"/>
      <c r="AK9" s="435">
        <f>SUM(AN9:AQ10)+IF(Таблицы!AS35=2,Таблицы!AS32,0)+AT9</f>
        <v>10</v>
      </c>
      <c r="AL9" s="435"/>
      <c r="AM9" s="13"/>
      <c r="AN9" s="228">
        <f>IF(D36=0,"",(D36*2)+Таблицы!M70+Таблицы!U70)</f>
        <v>10</v>
      </c>
      <c r="AO9" s="228"/>
      <c r="AP9" s="436"/>
      <c r="AQ9" s="436"/>
      <c r="AR9" s="13"/>
      <c r="AS9" s="13"/>
      <c r="AT9" s="287">
        <f>IF(Таблицы!M70=20,SUM(AX9*2,BB9*2/2,INT(BF9*2/3),INT(BJ9*2/4),INT(BN9*2/5)),SUM(AX9,INT(BB9/2),INT(BF9/3),INT(BJ9/4),INT(BN9/5)))</f>
        <v>0</v>
      </c>
      <c r="AU9" s="287"/>
      <c r="AV9" s="13"/>
      <c r="AW9" s="434"/>
      <c r="AX9" s="413"/>
      <c r="AY9" s="413"/>
      <c r="AZ9" s="13"/>
      <c r="BA9" s="434"/>
      <c r="BB9" s="413"/>
      <c r="BC9" s="413"/>
      <c r="BD9" s="13"/>
      <c r="BE9" s="434"/>
      <c r="BF9" s="413"/>
      <c r="BG9" s="413"/>
      <c r="BH9" s="13"/>
      <c r="BI9" s="434"/>
      <c r="BJ9" s="413"/>
      <c r="BK9" s="413"/>
      <c r="BL9" s="13"/>
      <c r="BM9" s="434"/>
      <c r="BN9" s="413"/>
      <c r="BO9" s="413"/>
      <c r="BP9" s="13"/>
      <c r="BQ9" s="29"/>
      <c r="BR9" s="13"/>
    </row>
    <row r="10" spans="1:70" ht="7.5" customHeight="1">
      <c r="A10" s="16"/>
      <c r="B10" s="377" t="s">
        <v>221</v>
      </c>
      <c r="C10" s="377"/>
      <c r="D10" s="377"/>
      <c r="E10" s="377"/>
      <c r="F10" s="377"/>
      <c r="G10" s="377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29"/>
      <c r="Z10" s="19"/>
      <c r="AA10" s="15"/>
      <c r="AB10" s="15"/>
      <c r="AC10" s="172"/>
      <c r="AD10" s="172"/>
      <c r="AE10" s="172"/>
      <c r="AF10" s="172"/>
      <c r="AG10" s="172"/>
      <c r="AH10" s="172"/>
      <c r="AI10" s="172"/>
      <c r="AJ10" s="172"/>
      <c r="AK10" s="435"/>
      <c r="AL10" s="435"/>
      <c r="AM10" s="13"/>
      <c r="AN10" s="228"/>
      <c r="AO10" s="228"/>
      <c r="AP10" s="436"/>
      <c r="AQ10" s="436"/>
      <c r="AR10" s="15"/>
      <c r="AS10" s="13"/>
      <c r="AT10" s="228"/>
      <c r="AU10" s="228"/>
      <c r="AV10" s="13"/>
      <c r="AW10" s="434"/>
      <c r="AX10" s="413"/>
      <c r="AY10" s="413"/>
      <c r="AZ10" s="13"/>
      <c r="BA10" s="434"/>
      <c r="BB10" s="413"/>
      <c r="BC10" s="413"/>
      <c r="BD10" s="13"/>
      <c r="BE10" s="434"/>
      <c r="BF10" s="413"/>
      <c r="BG10" s="413"/>
      <c r="BH10" s="13"/>
      <c r="BI10" s="434"/>
      <c r="BJ10" s="413"/>
      <c r="BK10" s="413"/>
      <c r="BL10" s="13"/>
      <c r="BM10" s="434"/>
      <c r="BN10" s="413"/>
      <c r="BO10" s="413"/>
      <c r="BP10" s="13"/>
      <c r="BQ10" s="29"/>
      <c r="BR10" s="13"/>
    </row>
    <row r="11" spans="1:70" ht="7.5" customHeight="1">
      <c r="A11" s="16"/>
      <c r="B11" s="377"/>
      <c r="C11" s="377"/>
      <c r="D11" s="377"/>
      <c r="E11" s="377"/>
      <c r="F11" s="377"/>
      <c r="G11" s="377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29"/>
      <c r="Z11" s="19"/>
      <c r="AA11" s="15"/>
      <c r="AB11" s="15"/>
      <c r="AC11" s="172" t="s">
        <v>77</v>
      </c>
      <c r="AD11" s="172"/>
      <c r="AE11" s="172"/>
      <c r="AF11" s="172"/>
      <c r="AG11" s="172"/>
      <c r="AH11" s="172"/>
      <c r="AI11" s="172"/>
      <c r="AJ11" s="172"/>
      <c r="AK11" s="435">
        <f>SUM(AN11:AQ12)+IF(Таблицы!AS35=3,Таблицы!AS32,0)+AT11</f>
        <v>10</v>
      </c>
      <c r="AL11" s="435"/>
      <c r="AM11" s="13"/>
      <c r="AN11" s="228">
        <f>IF(D36=0,"",(D36*2)+Таблицы!M71+Таблицы!U71)</f>
        <v>10</v>
      </c>
      <c r="AO11" s="228"/>
      <c r="AP11" s="436"/>
      <c r="AQ11" s="436"/>
      <c r="AR11" s="13"/>
      <c r="AS11" s="13"/>
      <c r="AT11" s="287">
        <f>IF(Таблицы!M71=20,SUM(AX11*2,BB11*2/2,INT(BF11*2/3),INT(BJ11*2/4),INT(BN11*2/5)),SUM(AX11,INT(BB11/2),INT(BF11/3),INT(BJ11/4),INT(BN11/5)))</f>
        <v>0</v>
      </c>
      <c r="AU11" s="287"/>
      <c r="AV11" s="13"/>
      <c r="AW11" s="434"/>
      <c r="AX11" s="413"/>
      <c r="AY11" s="413"/>
      <c r="AZ11" s="13"/>
      <c r="BA11" s="434"/>
      <c r="BB11" s="413"/>
      <c r="BC11" s="413"/>
      <c r="BD11" s="13"/>
      <c r="BE11" s="434"/>
      <c r="BF11" s="413"/>
      <c r="BG11" s="413"/>
      <c r="BH11" s="13"/>
      <c r="BI11" s="434"/>
      <c r="BJ11" s="413"/>
      <c r="BK11" s="413"/>
      <c r="BL11" s="13"/>
      <c r="BM11" s="434"/>
      <c r="BN11" s="413"/>
      <c r="BO11" s="413"/>
      <c r="BP11" s="13"/>
      <c r="BQ11" s="29"/>
      <c r="BR11" s="13"/>
    </row>
    <row r="12" spans="1:70" ht="7.5" customHeight="1">
      <c r="A12" s="69"/>
      <c r="B12" s="46"/>
      <c r="C12" s="46"/>
      <c r="D12" s="46"/>
      <c r="E12" s="46"/>
      <c r="F12" s="68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70"/>
      <c r="Z12" s="41"/>
      <c r="AA12" s="15"/>
      <c r="AB12" s="15"/>
      <c r="AC12" s="172"/>
      <c r="AD12" s="172"/>
      <c r="AE12" s="172"/>
      <c r="AF12" s="172"/>
      <c r="AG12" s="172"/>
      <c r="AH12" s="172"/>
      <c r="AI12" s="172"/>
      <c r="AJ12" s="172"/>
      <c r="AK12" s="435"/>
      <c r="AL12" s="435"/>
      <c r="AM12" s="13"/>
      <c r="AN12" s="228"/>
      <c r="AO12" s="228"/>
      <c r="AP12" s="436"/>
      <c r="AQ12" s="436"/>
      <c r="AR12" s="15"/>
      <c r="AS12" s="13"/>
      <c r="AT12" s="228"/>
      <c r="AU12" s="228"/>
      <c r="AV12" s="13"/>
      <c r="AW12" s="434"/>
      <c r="AX12" s="413"/>
      <c r="AY12" s="413"/>
      <c r="AZ12" s="13"/>
      <c r="BA12" s="434"/>
      <c r="BB12" s="413"/>
      <c r="BC12" s="413"/>
      <c r="BD12" s="13"/>
      <c r="BE12" s="434"/>
      <c r="BF12" s="413"/>
      <c r="BG12" s="413"/>
      <c r="BH12" s="13"/>
      <c r="BI12" s="434"/>
      <c r="BJ12" s="413"/>
      <c r="BK12" s="413"/>
      <c r="BL12" s="13"/>
      <c r="BM12" s="434"/>
      <c r="BN12" s="413"/>
      <c r="BO12" s="413"/>
      <c r="BP12" s="13"/>
      <c r="BQ12" s="29"/>
      <c r="BR12" s="13"/>
    </row>
    <row r="13" spans="1:70" ht="7.5" customHeight="1" thickBot="1">
      <c r="A13" s="16"/>
      <c r="B13" s="13"/>
      <c r="C13" s="13"/>
      <c r="D13" s="13"/>
      <c r="E13" s="13"/>
      <c r="F13" s="35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36"/>
      <c r="Z13" s="41"/>
      <c r="AA13" s="15"/>
      <c r="AB13" s="15"/>
      <c r="AC13" s="172" t="s">
        <v>76</v>
      </c>
      <c r="AD13" s="172"/>
      <c r="AE13" s="172"/>
      <c r="AF13" s="172"/>
      <c r="AG13" s="172"/>
      <c r="AH13" s="172"/>
      <c r="AI13" s="172"/>
      <c r="AJ13" s="172"/>
      <c r="AK13" s="435">
        <f>SUM(AN13:AQ14)+IF(Таблицы!AS35=4,Таблицы!AS32,0)+AT13</f>
        <v>50</v>
      </c>
      <c r="AL13" s="435"/>
      <c r="AM13" s="13"/>
      <c r="AN13" s="228">
        <f>IF(D36=0,"",30+(2*SUM(D36,D26)+Таблицы!M72+Таблицы!U72))</f>
        <v>50</v>
      </c>
      <c r="AO13" s="228"/>
      <c r="AP13" s="436"/>
      <c r="AQ13" s="436"/>
      <c r="AR13" s="13"/>
      <c r="AS13" s="13"/>
      <c r="AT13" s="287">
        <f>IF(Таблицы!M72=20,SUM(AX13*2,BB13*2/2,INT(BF13*2/3),INT(BJ13*2/4),INT(BN13*2/5)),SUM(AX13,INT(BB13/2),INT(BF13/3),INT(BJ13/4),INT(BN13/5)))</f>
        <v>0</v>
      </c>
      <c r="AU13" s="287"/>
      <c r="AV13" s="13"/>
      <c r="AW13" s="434"/>
      <c r="AX13" s="413"/>
      <c r="AY13" s="413"/>
      <c r="AZ13" s="13"/>
      <c r="BA13" s="434"/>
      <c r="BB13" s="413"/>
      <c r="BC13" s="413"/>
      <c r="BD13" s="13"/>
      <c r="BE13" s="434"/>
      <c r="BF13" s="413"/>
      <c r="BG13" s="413"/>
      <c r="BH13" s="13"/>
      <c r="BI13" s="434"/>
      <c r="BJ13" s="413"/>
      <c r="BK13" s="413"/>
      <c r="BL13" s="13"/>
      <c r="BM13" s="434"/>
      <c r="BN13" s="413"/>
      <c r="BO13" s="413"/>
      <c r="BP13" s="13"/>
      <c r="BQ13" s="29"/>
      <c r="BR13" s="13"/>
    </row>
    <row r="14" spans="1:70" ht="7.5" customHeight="1">
      <c r="A14" s="16"/>
      <c r="B14" s="448" t="s">
        <v>58</v>
      </c>
      <c r="C14" s="449"/>
      <c r="D14" s="449"/>
      <c r="E14" s="449"/>
      <c r="F14" s="449"/>
      <c r="G14" s="449" t="s">
        <v>59</v>
      </c>
      <c r="H14" s="449"/>
      <c r="I14" s="449"/>
      <c r="J14" s="449"/>
      <c r="K14" s="449"/>
      <c r="L14" s="449"/>
      <c r="M14" s="449" t="s">
        <v>60</v>
      </c>
      <c r="N14" s="449"/>
      <c r="O14" s="449"/>
      <c r="P14" s="449"/>
      <c r="Q14" s="449"/>
      <c r="R14" s="449"/>
      <c r="S14" s="449" t="s">
        <v>61</v>
      </c>
      <c r="T14" s="449"/>
      <c r="U14" s="449"/>
      <c r="V14" s="449"/>
      <c r="W14" s="449"/>
      <c r="X14" s="450"/>
      <c r="Y14" s="29"/>
      <c r="Z14" s="19"/>
      <c r="AA14" s="15"/>
      <c r="AB14" s="15"/>
      <c r="AC14" s="172"/>
      <c r="AD14" s="172"/>
      <c r="AE14" s="172"/>
      <c r="AF14" s="172"/>
      <c r="AG14" s="172"/>
      <c r="AH14" s="172"/>
      <c r="AI14" s="172"/>
      <c r="AJ14" s="172"/>
      <c r="AK14" s="435"/>
      <c r="AL14" s="435"/>
      <c r="AM14" s="13"/>
      <c r="AN14" s="228"/>
      <c r="AO14" s="228"/>
      <c r="AP14" s="436"/>
      <c r="AQ14" s="436"/>
      <c r="AR14" s="15"/>
      <c r="AS14" s="13"/>
      <c r="AT14" s="228"/>
      <c r="AU14" s="228"/>
      <c r="AV14" s="13"/>
      <c r="AW14" s="434"/>
      <c r="AX14" s="413"/>
      <c r="AY14" s="413"/>
      <c r="AZ14" s="13"/>
      <c r="BA14" s="434"/>
      <c r="BB14" s="413"/>
      <c r="BC14" s="413"/>
      <c r="BD14" s="13"/>
      <c r="BE14" s="434"/>
      <c r="BF14" s="413"/>
      <c r="BG14" s="413"/>
      <c r="BH14" s="13"/>
      <c r="BI14" s="434"/>
      <c r="BJ14" s="413"/>
      <c r="BK14" s="413"/>
      <c r="BL14" s="13"/>
      <c r="BM14" s="434"/>
      <c r="BN14" s="413"/>
      <c r="BO14" s="413"/>
      <c r="BP14" s="13"/>
      <c r="BQ14" s="29"/>
      <c r="BR14" s="13"/>
    </row>
    <row r="15" spans="1:70" ht="7.5" customHeight="1" thickBot="1">
      <c r="A15" s="16"/>
      <c r="B15" s="451"/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3"/>
      <c r="Y15" s="29"/>
      <c r="Z15" s="19"/>
      <c r="AA15" s="15"/>
      <c r="AB15" s="15"/>
      <c r="AC15" s="172" t="s">
        <v>78</v>
      </c>
      <c r="AD15" s="172"/>
      <c r="AE15" s="172"/>
      <c r="AF15" s="172"/>
      <c r="AG15" s="172"/>
      <c r="AH15" s="172"/>
      <c r="AI15" s="172"/>
      <c r="AJ15" s="172"/>
      <c r="AK15" s="435">
        <f>SUM(AN15:AQ16)+IF(Таблицы!AS35=5,Таблицы!AS32,0)+AT15</f>
        <v>40</v>
      </c>
      <c r="AL15" s="435"/>
      <c r="AM15" s="13"/>
      <c r="AN15" s="228">
        <f>IF(D36=0,"",20+(2*SUM(D36,D26)+Таблицы!M73+Таблицы!U73))</f>
        <v>40</v>
      </c>
      <c r="AO15" s="228"/>
      <c r="AP15" s="436"/>
      <c r="AQ15" s="436"/>
      <c r="AR15" s="13"/>
      <c r="AS15" s="13"/>
      <c r="AT15" s="287">
        <f>IF(Таблицы!M73=20,SUM(AX15*2,BB15*2/2,INT(BF15*2/3),INT(BJ15*2/4),INT(BN15*2/5)),SUM(AX15,INT(BB15/2),INT(BF15/3),INT(BJ15/4),INT(BN15/5)))</f>
        <v>0</v>
      </c>
      <c r="AU15" s="287"/>
      <c r="AV15" s="13"/>
      <c r="AW15" s="434"/>
      <c r="AX15" s="413"/>
      <c r="AY15" s="413"/>
      <c r="AZ15" s="13"/>
      <c r="BA15" s="434"/>
      <c r="BB15" s="413"/>
      <c r="BC15" s="413"/>
      <c r="BD15" s="13"/>
      <c r="BE15" s="434"/>
      <c r="BF15" s="413"/>
      <c r="BG15" s="413"/>
      <c r="BH15" s="13"/>
      <c r="BI15" s="434"/>
      <c r="BJ15" s="413"/>
      <c r="BK15" s="413"/>
      <c r="BL15" s="13"/>
      <c r="BM15" s="434"/>
      <c r="BN15" s="413"/>
      <c r="BO15" s="413"/>
      <c r="BP15" s="13"/>
      <c r="BQ15" s="29"/>
      <c r="BR15" s="13"/>
    </row>
    <row r="16" spans="1:70" ht="6.75" customHeight="1">
      <c r="A16" s="19"/>
      <c r="B16" s="287">
        <f>VLOOKUP(G16,Таблицы!A2:B32,2,TRUE)</f>
        <v>1</v>
      </c>
      <c r="C16" s="287"/>
      <c r="D16" s="287"/>
      <c r="E16" s="287"/>
      <c r="F16" s="287"/>
      <c r="G16" s="254">
        <v>0</v>
      </c>
      <c r="H16" s="254"/>
      <c r="I16" s="254"/>
      <c r="J16" s="254"/>
      <c r="K16" s="254"/>
      <c r="L16" s="254"/>
      <c r="M16" s="287">
        <f>VLOOKUP(B16+1,Таблицы!B2:C32,2,FALSE)</f>
        <v>1000</v>
      </c>
      <c r="N16" s="287"/>
      <c r="O16" s="287"/>
      <c r="P16" s="287"/>
      <c r="Q16" s="287"/>
      <c r="R16" s="287"/>
      <c r="S16" s="254"/>
      <c r="T16" s="254"/>
      <c r="U16" s="254"/>
      <c r="V16" s="254"/>
      <c r="W16" s="254"/>
      <c r="X16" s="254"/>
      <c r="Y16" s="29"/>
      <c r="Z16" s="19"/>
      <c r="AA16" s="15"/>
      <c r="AB16" s="15"/>
      <c r="AC16" s="172"/>
      <c r="AD16" s="172"/>
      <c r="AE16" s="172"/>
      <c r="AF16" s="172"/>
      <c r="AG16" s="172"/>
      <c r="AH16" s="172"/>
      <c r="AI16" s="172"/>
      <c r="AJ16" s="172"/>
      <c r="AK16" s="435"/>
      <c r="AL16" s="435"/>
      <c r="AM16" s="13"/>
      <c r="AN16" s="228"/>
      <c r="AO16" s="228"/>
      <c r="AP16" s="436"/>
      <c r="AQ16" s="436"/>
      <c r="AR16" s="15"/>
      <c r="AS16" s="13"/>
      <c r="AT16" s="228"/>
      <c r="AU16" s="228"/>
      <c r="AV16" s="13"/>
      <c r="AW16" s="434"/>
      <c r="AX16" s="413"/>
      <c r="AY16" s="413"/>
      <c r="AZ16" s="13"/>
      <c r="BA16" s="434"/>
      <c r="BB16" s="413"/>
      <c r="BC16" s="413"/>
      <c r="BD16" s="13"/>
      <c r="BE16" s="434"/>
      <c r="BF16" s="413"/>
      <c r="BG16" s="413"/>
      <c r="BH16" s="13"/>
      <c r="BI16" s="434"/>
      <c r="BJ16" s="413"/>
      <c r="BK16" s="413"/>
      <c r="BL16" s="13"/>
      <c r="BM16" s="434"/>
      <c r="BN16" s="413"/>
      <c r="BO16" s="413"/>
      <c r="BP16" s="13"/>
      <c r="BQ16" s="29"/>
      <c r="BR16" s="13"/>
    </row>
    <row r="17" spans="1:70" ht="7.5" customHeight="1" thickBot="1">
      <c r="A17" s="20"/>
      <c r="B17" s="483"/>
      <c r="C17" s="483"/>
      <c r="D17" s="483"/>
      <c r="E17" s="483"/>
      <c r="F17" s="483"/>
      <c r="G17" s="468"/>
      <c r="H17" s="468"/>
      <c r="I17" s="468"/>
      <c r="J17" s="468"/>
      <c r="K17" s="468"/>
      <c r="L17" s="468"/>
      <c r="M17" s="483"/>
      <c r="N17" s="483"/>
      <c r="O17" s="483"/>
      <c r="P17" s="483"/>
      <c r="Q17" s="483"/>
      <c r="R17" s="483"/>
      <c r="S17" s="468"/>
      <c r="T17" s="468"/>
      <c r="U17" s="468"/>
      <c r="V17" s="468"/>
      <c r="W17" s="468"/>
      <c r="X17" s="468"/>
      <c r="Y17" s="29"/>
      <c r="Z17" s="19"/>
      <c r="AA17" s="15"/>
      <c r="AB17" s="15"/>
      <c r="AC17" s="172" t="s">
        <v>1168</v>
      </c>
      <c r="AD17" s="172"/>
      <c r="AE17" s="172"/>
      <c r="AF17" s="172"/>
      <c r="AG17" s="172"/>
      <c r="AH17" s="172"/>
      <c r="AI17" s="172"/>
      <c r="AJ17" s="172"/>
      <c r="AK17" s="435">
        <f>SUM(AN17:AQ18)+IF(Таблицы!AS35=6,Таблицы!AS32,0)+AT17</f>
        <v>20</v>
      </c>
      <c r="AL17" s="435"/>
      <c r="AM17" s="13"/>
      <c r="AN17" s="228">
        <f>IF(D36=0,"",(D36*4)+Таблицы!M74+Таблицы!U74)</f>
        <v>20</v>
      </c>
      <c r="AO17" s="228"/>
      <c r="AP17" s="436"/>
      <c r="AQ17" s="436"/>
      <c r="AR17" s="13"/>
      <c r="AS17" s="13"/>
      <c r="AT17" s="287">
        <f>IF(Таблицы!M74=20,SUM(AX17*2,BB17*2/2,INT(BF17*2/3),INT(BJ17*2/4),INT(BN17*2/5)),SUM(AX17,INT(BB17/2),INT(BF17/3),INT(BJ17/4),INT(BN17/5)))</f>
        <v>0</v>
      </c>
      <c r="AU17" s="287"/>
      <c r="AV17" s="13"/>
      <c r="AW17" s="434"/>
      <c r="AX17" s="413"/>
      <c r="AY17" s="413"/>
      <c r="AZ17" s="13"/>
      <c r="BA17" s="434"/>
      <c r="BB17" s="413"/>
      <c r="BC17" s="413"/>
      <c r="BD17" s="13"/>
      <c r="BE17" s="434"/>
      <c r="BF17" s="413"/>
      <c r="BG17" s="413"/>
      <c r="BH17" s="13"/>
      <c r="BI17" s="434"/>
      <c r="BJ17" s="413"/>
      <c r="BK17" s="413"/>
      <c r="BL17" s="13"/>
      <c r="BM17" s="434"/>
      <c r="BN17" s="413"/>
      <c r="BO17" s="413"/>
      <c r="BP17" s="13"/>
      <c r="BQ17" s="29"/>
      <c r="BR17" s="13"/>
    </row>
    <row r="18" spans="1:70" ht="7.5" customHeight="1">
      <c r="A18" s="16"/>
      <c r="B18" s="448" t="s">
        <v>92</v>
      </c>
      <c r="C18" s="449"/>
      <c r="D18" s="449"/>
      <c r="E18" s="449"/>
      <c r="F18" s="449"/>
      <c r="G18" s="449" t="s">
        <v>62</v>
      </c>
      <c r="H18" s="449"/>
      <c r="I18" s="449"/>
      <c r="J18" s="449"/>
      <c r="K18" s="449"/>
      <c r="L18" s="449"/>
      <c r="M18" s="449" t="s">
        <v>63</v>
      </c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50"/>
      <c r="Y18" s="29"/>
      <c r="Z18" s="19"/>
      <c r="AA18" s="15"/>
      <c r="AB18" s="15"/>
      <c r="AC18" s="172"/>
      <c r="AD18" s="172"/>
      <c r="AE18" s="172"/>
      <c r="AF18" s="172"/>
      <c r="AG18" s="172"/>
      <c r="AH18" s="172"/>
      <c r="AI18" s="172"/>
      <c r="AJ18" s="172"/>
      <c r="AK18" s="435"/>
      <c r="AL18" s="435"/>
      <c r="AM18" s="13"/>
      <c r="AN18" s="228"/>
      <c r="AO18" s="228"/>
      <c r="AP18" s="436"/>
      <c r="AQ18" s="436"/>
      <c r="AR18" s="15"/>
      <c r="AS18" s="13"/>
      <c r="AT18" s="228"/>
      <c r="AU18" s="228"/>
      <c r="AV18" s="13"/>
      <c r="AW18" s="434"/>
      <c r="AX18" s="413"/>
      <c r="AY18" s="413"/>
      <c r="AZ18" s="13"/>
      <c r="BA18" s="434"/>
      <c r="BB18" s="413"/>
      <c r="BC18" s="413"/>
      <c r="BD18" s="13"/>
      <c r="BE18" s="434"/>
      <c r="BF18" s="413"/>
      <c r="BG18" s="413"/>
      <c r="BH18" s="13"/>
      <c r="BI18" s="434"/>
      <c r="BJ18" s="413"/>
      <c r="BK18" s="413"/>
      <c r="BL18" s="13"/>
      <c r="BM18" s="434"/>
      <c r="BN18" s="413"/>
      <c r="BO18" s="413"/>
      <c r="BP18" s="13"/>
      <c r="BQ18" s="29"/>
      <c r="BR18" s="13"/>
    </row>
    <row r="19" spans="1:70" ht="6.75" customHeight="1" thickBot="1">
      <c r="A19" s="19"/>
      <c r="B19" s="451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3"/>
      <c r="Y19" s="29"/>
      <c r="Z19" s="19"/>
      <c r="AA19" s="15"/>
      <c r="AB19" s="15"/>
      <c r="AC19" s="172" t="s">
        <v>79</v>
      </c>
      <c r="AD19" s="172"/>
      <c r="AE19" s="172"/>
      <c r="AF19" s="172"/>
      <c r="AG19" s="172"/>
      <c r="AH19" s="172"/>
      <c r="AI19" s="172"/>
      <c r="AJ19" s="172"/>
      <c r="AK19" s="435">
        <f>SUM(AN19:AQ20)+AT19</f>
        <v>20</v>
      </c>
      <c r="AL19" s="435"/>
      <c r="AM19" s="13"/>
      <c r="AN19" s="228">
        <f>IF(D36=0,"",(2*SUM(D28,D34))+Таблицы!M75+Таблицы!U75)</f>
        <v>20</v>
      </c>
      <c r="AO19" s="228"/>
      <c r="AP19" s="436"/>
      <c r="AQ19" s="436"/>
      <c r="AR19" s="13"/>
      <c r="AS19" s="13"/>
      <c r="AT19" s="287">
        <f>IF(Таблицы!M75=20,SUM(AX19*2,BB19*2/2,INT(BF19*2/3),INT(BJ19*2/4),INT(BN19*2/5)),SUM(AX19,INT(BB19/2),INT(BF19/3),INT(BJ19/4),INT(BN19/5)))</f>
        <v>0</v>
      </c>
      <c r="AU19" s="287"/>
      <c r="AV19" s="13"/>
      <c r="AW19" s="434"/>
      <c r="AX19" s="413"/>
      <c r="AY19" s="413"/>
      <c r="AZ19" s="13"/>
      <c r="BA19" s="434"/>
      <c r="BB19" s="413"/>
      <c r="BC19" s="413"/>
      <c r="BD19" s="13"/>
      <c r="BE19" s="434"/>
      <c r="BF19" s="413"/>
      <c r="BG19" s="413"/>
      <c r="BH19" s="13"/>
      <c r="BI19" s="434"/>
      <c r="BJ19" s="413"/>
      <c r="BK19" s="413"/>
      <c r="BL19" s="13"/>
      <c r="BM19" s="434"/>
      <c r="BN19" s="413"/>
      <c r="BO19" s="413"/>
      <c r="BP19" s="13"/>
      <c r="BQ19" s="29"/>
      <c r="BR19" s="13"/>
    </row>
    <row r="20" spans="1:70" ht="7.5" customHeight="1">
      <c r="A20" s="21"/>
      <c r="B20" s="287">
        <f>IF(OR(Таблицы!F84=16,Таблицы!F85=16),SUM(INDEX(Таблицы!F2:S10,Таблицы!F1,10),1),INDEX(Таблицы!F2:S10,Таблицы!F1,10))</f>
        <v>3</v>
      </c>
      <c r="C20" s="287"/>
      <c r="D20" s="287"/>
      <c r="E20" s="287"/>
      <c r="F20" s="287"/>
      <c r="G20" s="287">
        <f>ROUNDDOWN(3+(D30/2),0)+INDEX(Таблицы!R2:R10,Таблицы!F1,1)</f>
        <v>5</v>
      </c>
      <c r="H20" s="287"/>
      <c r="I20" s="287"/>
      <c r="J20" s="287"/>
      <c r="K20" s="287"/>
      <c r="L20" s="287"/>
      <c r="M20" s="287">
        <f>IF(D34=0,"",IF(OR(Таблицы!F84=16,Таблицы!F85=16,Таблицы!F84=17,Таблицы!F85=17),SUM(5+(2*D34),IF(OR(Таблицы!F84=16,Таблицы!F85=16),Таблицы!L46,0),IF(OR(Таблицы!F84=17,Таблицы!F85=17),Таблицы!L48,0)),5+(2*D34)))+INDEX(Таблицы!U2:U10,Таблицы!F1,1)</f>
        <v>15</v>
      </c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31"/>
      <c r="Z20" s="42"/>
      <c r="AA20" s="15"/>
      <c r="AB20" s="15"/>
      <c r="AC20" s="172"/>
      <c r="AD20" s="172"/>
      <c r="AE20" s="172"/>
      <c r="AF20" s="172"/>
      <c r="AG20" s="172"/>
      <c r="AH20" s="172"/>
      <c r="AI20" s="172"/>
      <c r="AJ20" s="172"/>
      <c r="AK20" s="435"/>
      <c r="AL20" s="435"/>
      <c r="AM20" s="13"/>
      <c r="AN20" s="228"/>
      <c r="AO20" s="228"/>
      <c r="AP20" s="436"/>
      <c r="AQ20" s="436"/>
      <c r="AR20" s="13"/>
      <c r="AS20" s="13"/>
      <c r="AT20" s="228"/>
      <c r="AU20" s="228"/>
      <c r="AV20" s="13"/>
      <c r="AW20" s="434"/>
      <c r="AX20" s="413"/>
      <c r="AY20" s="413"/>
      <c r="AZ20" s="13"/>
      <c r="BA20" s="434"/>
      <c r="BB20" s="413"/>
      <c r="BC20" s="413"/>
      <c r="BD20" s="13"/>
      <c r="BE20" s="434"/>
      <c r="BF20" s="413"/>
      <c r="BG20" s="413"/>
      <c r="BH20" s="13"/>
      <c r="BI20" s="434"/>
      <c r="BJ20" s="413"/>
      <c r="BK20" s="413"/>
      <c r="BL20" s="13"/>
      <c r="BM20" s="434"/>
      <c r="BN20" s="413"/>
      <c r="BO20" s="413"/>
      <c r="BP20" s="13"/>
      <c r="BQ20" s="29"/>
      <c r="BR20" s="13"/>
    </row>
    <row r="21" spans="1:70" ht="7.5" customHeight="1">
      <c r="A21" s="19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31"/>
      <c r="Z21" s="42"/>
      <c r="AA21" s="15"/>
      <c r="AB21" s="15"/>
      <c r="AC21" s="172" t="s">
        <v>80</v>
      </c>
      <c r="AD21" s="172"/>
      <c r="AE21" s="172"/>
      <c r="AF21" s="172"/>
      <c r="AG21" s="172"/>
      <c r="AH21" s="172"/>
      <c r="AI21" s="172"/>
      <c r="AJ21" s="172"/>
      <c r="AK21" s="435">
        <f>SUM(AN21:AQ22)+AT21</f>
        <v>15</v>
      </c>
      <c r="AL21" s="435"/>
      <c r="AM21" s="13"/>
      <c r="AN21" s="228">
        <f>IF(D36=0,"",(5+SUM(D28,D34)+Таблицы!M76+Таблицы!U76))</f>
        <v>15</v>
      </c>
      <c r="AO21" s="228"/>
      <c r="AP21" s="436"/>
      <c r="AQ21" s="436"/>
      <c r="AR21" s="13"/>
      <c r="AS21" s="13"/>
      <c r="AT21" s="287">
        <f>IF(Таблицы!M76=20,SUM(AX21*2,BB21*2/2,INT(BF21*2/3),INT(BJ21*2/4),INT(BN21*2/5)),SUM(AX21,INT(BB21/2),INT(BF21/3),INT(BJ21/4),INT(BN21/5)))</f>
        <v>0</v>
      </c>
      <c r="AU21" s="287"/>
      <c r="AV21" s="13"/>
      <c r="AW21" s="434"/>
      <c r="AX21" s="413"/>
      <c r="AY21" s="413"/>
      <c r="AZ21" s="13"/>
      <c r="BA21" s="434"/>
      <c r="BB21" s="413"/>
      <c r="BC21" s="413"/>
      <c r="BD21" s="13"/>
      <c r="BE21" s="434"/>
      <c r="BF21" s="413"/>
      <c r="BG21" s="413"/>
      <c r="BH21" s="13"/>
      <c r="BI21" s="434"/>
      <c r="BJ21" s="413"/>
      <c r="BK21" s="413"/>
      <c r="BL21" s="22"/>
      <c r="BM21" s="434"/>
      <c r="BN21" s="413"/>
      <c r="BO21" s="413"/>
      <c r="BP21" s="13"/>
      <c r="BQ21" s="29"/>
      <c r="BR21" s="13"/>
    </row>
    <row r="22" spans="1:70" ht="7.5" customHeight="1">
      <c r="A22" s="65"/>
      <c r="B22" s="46"/>
      <c r="C22" s="46"/>
      <c r="D22" s="46"/>
      <c r="E22" s="46"/>
      <c r="F22" s="68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66"/>
      <c r="Z22" s="19"/>
      <c r="AA22" s="15"/>
      <c r="AB22" s="15"/>
      <c r="AC22" s="172"/>
      <c r="AD22" s="172"/>
      <c r="AE22" s="172"/>
      <c r="AF22" s="172"/>
      <c r="AG22" s="172"/>
      <c r="AH22" s="172"/>
      <c r="AI22" s="172"/>
      <c r="AJ22" s="172"/>
      <c r="AK22" s="435"/>
      <c r="AL22" s="435"/>
      <c r="AM22" s="13"/>
      <c r="AN22" s="228"/>
      <c r="AO22" s="228"/>
      <c r="AP22" s="436"/>
      <c r="AQ22" s="436"/>
      <c r="AR22" s="13"/>
      <c r="AS22" s="13"/>
      <c r="AT22" s="228"/>
      <c r="AU22" s="228"/>
      <c r="AV22" s="13"/>
      <c r="AW22" s="434"/>
      <c r="AX22" s="413"/>
      <c r="AY22" s="413"/>
      <c r="AZ22" s="13"/>
      <c r="BA22" s="434"/>
      <c r="BB22" s="413"/>
      <c r="BC22" s="413"/>
      <c r="BD22" s="13"/>
      <c r="BE22" s="434"/>
      <c r="BF22" s="413"/>
      <c r="BG22" s="413"/>
      <c r="BH22" s="13"/>
      <c r="BI22" s="434"/>
      <c r="BJ22" s="413"/>
      <c r="BK22" s="413"/>
      <c r="BL22" s="22"/>
      <c r="BM22" s="434"/>
      <c r="BN22" s="413"/>
      <c r="BO22" s="413"/>
      <c r="BP22" s="13"/>
      <c r="BQ22" s="29"/>
      <c r="BR22" s="13"/>
    </row>
    <row r="23" spans="1:70" ht="7.5" customHeight="1" thickBot="1">
      <c r="A23" s="19"/>
      <c r="B23" s="13"/>
      <c r="C23" s="13"/>
      <c r="D23" s="13"/>
      <c r="E23" s="13"/>
      <c r="F23" s="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29"/>
      <c r="Z23" s="19"/>
      <c r="AA23" s="15"/>
      <c r="AB23" s="15"/>
      <c r="AC23" s="172" t="s">
        <v>81</v>
      </c>
      <c r="AD23" s="172"/>
      <c r="AE23" s="172"/>
      <c r="AF23" s="172"/>
      <c r="AG23" s="172"/>
      <c r="AH23" s="172"/>
      <c r="AI23" s="172"/>
      <c r="AJ23" s="172"/>
      <c r="AK23" s="435">
        <f>SUM(AN23:AQ24)+AT23</f>
        <v>20</v>
      </c>
      <c r="AL23" s="435"/>
      <c r="AM23" s="13"/>
      <c r="AN23" s="228">
        <f>IF(D36=0,"",5+(3*D36)+Таблицы!M77+Таблицы!U77)</f>
        <v>20</v>
      </c>
      <c r="AO23" s="228"/>
      <c r="AP23" s="436"/>
      <c r="AQ23" s="436"/>
      <c r="AR23" s="13"/>
      <c r="AS23" s="13"/>
      <c r="AT23" s="287">
        <f>IF(Таблицы!M77=20,SUM(AX23*2,BB23*2/2,INT(BF23*2/3),INT(BJ23*2/4),INT(BN23*2/5)),SUM(AX23,INT(BB23/2),INT(BF23/3),INT(BJ23/4),INT(BN23/5)))</f>
        <v>0</v>
      </c>
      <c r="AU23" s="287"/>
      <c r="AV23" s="13"/>
      <c r="AW23" s="434"/>
      <c r="AX23" s="413"/>
      <c r="AY23" s="413"/>
      <c r="AZ23" s="13"/>
      <c r="BA23" s="434"/>
      <c r="BB23" s="413"/>
      <c r="BC23" s="413"/>
      <c r="BD23" s="13"/>
      <c r="BE23" s="434"/>
      <c r="BF23" s="413"/>
      <c r="BG23" s="413"/>
      <c r="BH23" s="13"/>
      <c r="BI23" s="434"/>
      <c r="BJ23" s="413"/>
      <c r="BK23" s="413"/>
      <c r="BL23" s="22"/>
      <c r="BM23" s="434"/>
      <c r="BN23" s="413"/>
      <c r="BO23" s="413"/>
      <c r="BP23" s="13"/>
      <c r="BQ23" s="29"/>
      <c r="BR23" s="13"/>
    </row>
    <row r="24" spans="1:70" ht="7.5" customHeight="1">
      <c r="A24" s="19"/>
      <c r="B24" s="488" t="s">
        <v>94</v>
      </c>
      <c r="C24" s="489"/>
      <c r="D24" s="424" t="s">
        <v>222</v>
      </c>
      <c r="E24" s="424"/>
      <c r="F24" s="425"/>
      <c r="G24" s="13"/>
      <c r="H24" s="415" t="s">
        <v>95</v>
      </c>
      <c r="I24" s="442"/>
      <c r="J24" s="442"/>
      <c r="K24" s="455" t="s">
        <v>74</v>
      </c>
      <c r="L24" s="455"/>
      <c r="M24" s="455"/>
      <c r="N24" s="458" t="s">
        <v>8</v>
      </c>
      <c r="O24" s="458"/>
      <c r="P24" s="459"/>
      <c r="Q24" s="13"/>
      <c r="R24" s="448" t="s">
        <v>272</v>
      </c>
      <c r="S24" s="449"/>
      <c r="T24" s="449"/>
      <c r="U24" s="449"/>
      <c r="V24" s="449"/>
      <c r="W24" s="449"/>
      <c r="X24" s="450"/>
      <c r="Y24" s="29"/>
      <c r="Z24" s="19"/>
      <c r="AA24" s="15"/>
      <c r="AB24" s="15"/>
      <c r="AC24" s="172"/>
      <c r="AD24" s="172"/>
      <c r="AE24" s="172"/>
      <c r="AF24" s="172"/>
      <c r="AG24" s="172"/>
      <c r="AH24" s="172"/>
      <c r="AI24" s="172"/>
      <c r="AJ24" s="172"/>
      <c r="AK24" s="435"/>
      <c r="AL24" s="435"/>
      <c r="AM24" s="13"/>
      <c r="AN24" s="228"/>
      <c r="AO24" s="228"/>
      <c r="AP24" s="436"/>
      <c r="AQ24" s="436"/>
      <c r="AR24" s="13"/>
      <c r="AS24" s="13"/>
      <c r="AT24" s="228"/>
      <c r="AU24" s="228"/>
      <c r="AV24" s="13"/>
      <c r="AW24" s="434"/>
      <c r="AX24" s="413"/>
      <c r="AY24" s="413"/>
      <c r="AZ24" s="13"/>
      <c r="BA24" s="434"/>
      <c r="BB24" s="413"/>
      <c r="BC24" s="413"/>
      <c r="BD24" s="13"/>
      <c r="BE24" s="434"/>
      <c r="BF24" s="413"/>
      <c r="BG24" s="413"/>
      <c r="BH24" s="13"/>
      <c r="BI24" s="434"/>
      <c r="BJ24" s="413"/>
      <c r="BK24" s="413"/>
      <c r="BL24" s="22"/>
      <c r="BM24" s="434"/>
      <c r="BN24" s="413"/>
      <c r="BO24" s="413"/>
      <c r="BP24" s="13"/>
      <c r="BQ24" s="29"/>
      <c r="BR24" s="13"/>
    </row>
    <row r="25" spans="1:70" ht="7.5" customHeight="1" thickBot="1">
      <c r="A25" s="21"/>
      <c r="B25" s="490"/>
      <c r="C25" s="491"/>
      <c r="D25" s="427"/>
      <c r="E25" s="427"/>
      <c r="F25" s="428"/>
      <c r="G25" s="13"/>
      <c r="H25" s="443"/>
      <c r="I25" s="444"/>
      <c r="J25" s="444"/>
      <c r="K25" s="457"/>
      <c r="L25" s="457"/>
      <c r="M25" s="457"/>
      <c r="N25" s="460"/>
      <c r="O25" s="460"/>
      <c r="P25" s="461"/>
      <c r="Q25" s="13"/>
      <c r="R25" s="451"/>
      <c r="S25" s="452"/>
      <c r="T25" s="452"/>
      <c r="U25" s="452"/>
      <c r="V25" s="452"/>
      <c r="W25" s="452"/>
      <c r="X25" s="453"/>
      <c r="Y25" s="29"/>
      <c r="Z25" s="19"/>
      <c r="AA25" s="15"/>
      <c r="AB25" s="15"/>
      <c r="AC25" s="172" t="s">
        <v>82</v>
      </c>
      <c r="AD25" s="172"/>
      <c r="AE25" s="172"/>
      <c r="AF25" s="172"/>
      <c r="AG25" s="172"/>
      <c r="AH25" s="172"/>
      <c r="AI25" s="172"/>
      <c r="AJ25" s="172"/>
      <c r="AK25" s="435">
        <f>SUM(AN25:AQ26)+AT25</f>
        <v>20</v>
      </c>
      <c r="AL25" s="435"/>
      <c r="AM25" s="13"/>
      <c r="AN25" s="228">
        <f>IF(D36=0,"",10+(SUM(D28,D36)+Таблицы!M78+Таблицы!U78))</f>
        <v>20</v>
      </c>
      <c r="AO25" s="228"/>
      <c r="AP25" s="436"/>
      <c r="AQ25" s="436"/>
      <c r="AR25" s="13"/>
      <c r="AS25" s="13"/>
      <c r="AT25" s="287">
        <f>IF(Таблицы!M78=20,SUM(AX25*2,BB25*2/2,INT(BF25*2/3),INT(BJ25*2/4),INT(BN25*2/5)),SUM(AX25,INT(BB25/2),INT(BF25/3),INT(BJ25/4),INT(BN25/5)))</f>
        <v>0</v>
      </c>
      <c r="AU25" s="287"/>
      <c r="AV25" s="13"/>
      <c r="AW25" s="434"/>
      <c r="AX25" s="413"/>
      <c r="AY25" s="413"/>
      <c r="AZ25" s="13"/>
      <c r="BA25" s="434"/>
      <c r="BB25" s="413"/>
      <c r="BC25" s="413"/>
      <c r="BD25" s="13"/>
      <c r="BE25" s="434"/>
      <c r="BF25" s="413"/>
      <c r="BG25" s="413"/>
      <c r="BH25" s="13"/>
      <c r="BI25" s="434"/>
      <c r="BJ25" s="413"/>
      <c r="BK25" s="413"/>
      <c r="BL25" s="22"/>
      <c r="BM25" s="434"/>
      <c r="BN25" s="413"/>
      <c r="BO25" s="413"/>
      <c r="BP25" s="13"/>
      <c r="BQ25" s="29"/>
      <c r="BR25" s="13"/>
    </row>
    <row r="26" spans="1:70" ht="7.5" customHeight="1">
      <c r="A26" s="16"/>
      <c r="B26" s="492" t="s">
        <v>258</v>
      </c>
      <c r="C26" s="385"/>
      <c r="D26" s="287">
        <f>SUM(K26+N26,IF(OR(Таблицы!F84=3,Таблицы!F85=3),Таблицы!L35,0),IF(OR(Таблицы!F84=17,Таблицы!F85=17),Таблицы!L49,0))</f>
        <v>5</v>
      </c>
      <c r="E26" s="287"/>
      <c r="F26" s="465"/>
      <c r="G26" s="13"/>
      <c r="H26" s="445" t="str">
        <f>INDEX(Таблицы!F2:L11,Таблицы!F1,1)</f>
        <v>1/10</v>
      </c>
      <c r="I26" s="446"/>
      <c r="J26" s="447"/>
      <c r="K26" s="287">
        <f>INDEX(Таблицы!AF2:AL10,Таблицы!F1,1)</f>
        <v>5</v>
      </c>
      <c r="L26" s="287"/>
      <c r="M26" s="287"/>
      <c r="N26" s="254"/>
      <c r="O26" s="254"/>
      <c r="P26" s="254"/>
      <c r="Q26" s="13"/>
      <c r="R26" s="414"/>
      <c r="S26" s="414"/>
      <c r="T26" s="414"/>
      <c r="U26" s="414"/>
      <c r="V26" s="414"/>
      <c r="W26" s="414"/>
      <c r="X26" s="414"/>
      <c r="Y26" s="29"/>
      <c r="Z26" s="19"/>
      <c r="AA26" s="15"/>
      <c r="AB26" s="15"/>
      <c r="AC26" s="172"/>
      <c r="AD26" s="172"/>
      <c r="AE26" s="172"/>
      <c r="AF26" s="172"/>
      <c r="AG26" s="172"/>
      <c r="AH26" s="172"/>
      <c r="AI26" s="172"/>
      <c r="AJ26" s="172"/>
      <c r="AK26" s="435"/>
      <c r="AL26" s="435"/>
      <c r="AM26" s="13"/>
      <c r="AN26" s="228"/>
      <c r="AO26" s="228"/>
      <c r="AP26" s="436"/>
      <c r="AQ26" s="436"/>
      <c r="AR26" s="13"/>
      <c r="AS26" s="13"/>
      <c r="AT26" s="228"/>
      <c r="AU26" s="228"/>
      <c r="AV26" s="13"/>
      <c r="AW26" s="434"/>
      <c r="AX26" s="413"/>
      <c r="AY26" s="413"/>
      <c r="AZ26" s="13"/>
      <c r="BA26" s="434"/>
      <c r="BB26" s="413"/>
      <c r="BC26" s="413"/>
      <c r="BD26" s="13"/>
      <c r="BE26" s="434"/>
      <c r="BF26" s="413"/>
      <c r="BG26" s="413"/>
      <c r="BH26" s="13"/>
      <c r="BI26" s="434"/>
      <c r="BJ26" s="413"/>
      <c r="BK26" s="413"/>
      <c r="BL26" s="22"/>
      <c r="BM26" s="434"/>
      <c r="BN26" s="413"/>
      <c r="BO26" s="413"/>
      <c r="BP26" s="13"/>
      <c r="BQ26" s="29"/>
      <c r="BR26" s="13"/>
    </row>
    <row r="27" spans="1:70" ht="7.5" customHeight="1" thickBot="1">
      <c r="A27" s="16"/>
      <c r="B27" s="487"/>
      <c r="C27" s="347"/>
      <c r="D27" s="228"/>
      <c r="E27" s="228"/>
      <c r="F27" s="439"/>
      <c r="G27" s="13"/>
      <c r="H27" s="357"/>
      <c r="I27" s="358"/>
      <c r="J27" s="359"/>
      <c r="K27" s="228"/>
      <c r="L27" s="228"/>
      <c r="M27" s="228"/>
      <c r="N27" s="227"/>
      <c r="O27" s="227"/>
      <c r="P27" s="227"/>
      <c r="Q27" s="13"/>
      <c r="R27" s="467"/>
      <c r="S27" s="467"/>
      <c r="T27" s="467"/>
      <c r="U27" s="467"/>
      <c r="V27" s="467"/>
      <c r="W27" s="467"/>
      <c r="X27" s="467"/>
      <c r="Y27" s="29"/>
      <c r="Z27" s="19"/>
      <c r="AA27" s="15"/>
      <c r="AB27" s="15"/>
      <c r="AC27" s="172" t="s">
        <v>83</v>
      </c>
      <c r="AD27" s="172"/>
      <c r="AE27" s="172"/>
      <c r="AF27" s="172"/>
      <c r="AG27" s="172"/>
      <c r="AH27" s="172"/>
      <c r="AI27" s="172"/>
      <c r="AJ27" s="172"/>
      <c r="AK27" s="435">
        <f>SUM(AN27:AQ28)+AT27</f>
        <v>15</v>
      </c>
      <c r="AL27" s="435"/>
      <c r="AM27" s="13"/>
      <c r="AN27" s="228">
        <f>IF(D36=0,"",(D36*3)+Таблицы!M79+Таблицы!U79)</f>
        <v>15</v>
      </c>
      <c r="AO27" s="228"/>
      <c r="AP27" s="436"/>
      <c r="AQ27" s="436"/>
      <c r="AR27" s="13"/>
      <c r="AS27" s="13"/>
      <c r="AT27" s="287">
        <f>IF(Таблицы!M79=20,SUM(AX27*2,BB27*2/2,INT(BF27*2/3),INT(BJ27*2/4),INT(BN27*2/5)),SUM(AX27,INT(BB27/2),INT(BF27/3),INT(BJ27/4),INT(BN27/5)))</f>
        <v>0</v>
      </c>
      <c r="AU27" s="287"/>
      <c r="AV27" s="13"/>
      <c r="AW27" s="434"/>
      <c r="AX27" s="413"/>
      <c r="AY27" s="413"/>
      <c r="AZ27" s="13"/>
      <c r="BA27" s="434"/>
      <c r="BB27" s="413"/>
      <c r="BC27" s="413"/>
      <c r="BD27" s="13"/>
      <c r="BE27" s="434"/>
      <c r="BF27" s="413"/>
      <c r="BG27" s="413"/>
      <c r="BH27" s="13"/>
      <c r="BI27" s="434"/>
      <c r="BJ27" s="413"/>
      <c r="BK27" s="413"/>
      <c r="BL27" s="22"/>
      <c r="BM27" s="434"/>
      <c r="BN27" s="413"/>
      <c r="BO27" s="413"/>
      <c r="BP27" s="13"/>
      <c r="BQ27" s="29"/>
      <c r="BR27" s="13"/>
    </row>
    <row r="28" spans="1:70" ht="7.5" customHeight="1">
      <c r="A28" s="16"/>
      <c r="B28" s="486" t="s">
        <v>115</v>
      </c>
      <c r="C28" s="346"/>
      <c r="D28" s="228">
        <f>SUM(K28+N28,IF(OR(Таблицы!F84=20,Таблицы!F85=20),Таблицы!L57,0),IF(OR(Таблицы!F84=17,Таблицы!F85=17),Таблицы!L50,0))</f>
        <v>5</v>
      </c>
      <c r="E28" s="228"/>
      <c r="F28" s="439"/>
      <c r="G28" s="13"/>
      <c r="H28" s="354" t="str">
        <f>INDEX(Таблицы!F2:L11,Таблицы!F1,2)</f>
        <v>1/10</v>
      </c>
      <c r="I28" s="355"/>
      <c r="J28" s="356"/>
      <c r="K28" s="287">
        <f>INDEX(Таблицы!AF2:AL10,Таблицы!F1,2)</f>
        <v>5</v>
      </c>
      <c r="L28" s="287"/>
      <c r="M28" s="287"/>
      <c r="N28" s="227"/>
      <c r="O28" s="227"/>
      <c r="P28" s="227"/>
      <c r="Q28" s="13"/>
      <c r="R28" s="448" t="s">
        <v>271</v>
      </c>
      <c r="S28" s="449"/>
      <c r="T28" s="449"/>
      <c r="U28" s="449"/>
      <c r="V28" s="449"/>
      <c r="W28" s="449"/>
      <c r="X28" s="450"/>
      <c r="Y28" s="29"/>
      <c r="Z28" s="19"/>
      <c r="AA28" s="15"/>
      <c r="AB28" s="15"/>
      <c r="AC28" s="172"/>
      <c r="AD28" s="172"/>
      <c r="AE28" s="172"/>
      <c r="AF28" s="172"/>
      <c r="AG28" s="172"/>
      <c r="AH28" s="172"/>
      <c r="AI28" s="172"/>
      <c r="AJ28" s="172"/>
      <c r="AK28" s="435"/>
      <c r="AL28" s="435"/>
      <c r="AM28" s="13"/>
      <c r="AN28" s="228"/>
      <c r="AO28" s="228"/>
      <c r="AP28" s="436"/>
      <c r="AQ28" s="436"/>
      <c r="AR28" s="13"/>
      <c r="AS28" s="13"/>
      <c r="AT28" s="228"/>
      <c r="AU28" s="228"/>
      <c r="AV28" s="13"/>
      <c r="AW28" s="434"/>
      <c r="AX28" s="413"/>
      <c r="AY28" s="413"/>
      <c r="AZ28" s="13"/>
      <c r="BA28" s="434"/>
      <c r="BB28" s="413"/>
      <c r="BC28" s="413"/>
      <c r="BD28" s="13"/>
      <c r="BE28" s="434"/>
      <c r="BF28" s="413"/>
      <c r="BG28" s="413"/>
      <c r="BH28" s="13"/>
      <c r="BI28" s="434"/>
      <c r="BJ28" s="413"/>
      <c r="BK28" s="413"/>
      <c r="BL28" s="22"/>
      <c r="BM28" s="434"/>
      <c r="BN28" s="413"/>
      <c r="BO28" s="413"/>
      <c r="BP28" s="13"/>
      <c r="BQ28" s="29"/>
      <c r="BR28" s="13"/>
    </row>
    <row r="29" spans="1:70" ht="7.5" customHeight="1" thickBot="1">
      <c r="A29" s="16"/>
      <c r="B29" s="487"/>
      <c r="C29" s="347"/>
      <c r="D29" s="228"/>
      <c r="E29" s="228"/>
      <c r="F29" s="439"/>
      <c r="G29" s="13"/>
      <c r="H29" s="357"/>
      <c r="I29" s="358"/>
      <c r="J29" s="359"/>
      <c r="K29" s="228"/>
      <c r="L29" s="228"/>
      <c r="M29" s="228"/>
      <c r="N29" s="227"/>
      <c r="O29" s="227"/>
      <c r="P29" s="227"/>
      <c r="Q29" s="13"/>
      <c r="R29" s="451"/>
      <c r="S29" s="452"/>
      <c r="T29" s="452"/>
      <c r="U29" s="452"/>
      <c r="V29" s="452"/>
      <c r="W29" s="452"/>
      <c r="X29" s="453"/>
      <c r="Y29" s="29"/>
      <c r="Z29" s="19"/>
      <c r="AA29" s="15"/>
      <c r="AB29" s="15"/>
      <c r="AC29" s="172" t="s">
        <v>84</v>
      </c>
      <c r="AD29" s="172"/>
      <c r="AE29" s="172"/>
      <c r="AF29" s="172"/>
      <c r="AG29" s="172"/>
      <c r="AH29" s="172"/>
      <c r="AI29" s="172"/>
      <c r="AJ29" s="172"/>
      <c r="AK29" s="435">
        <f>SUM(AN29:AQ30)+AT29</f>
        <v>20</v>
      </c>
      <c r="AL29" s="435"/>
      <c r="AM29" s="13"/>
      <c r="AN29" s="228">
        <f>IF(D36=0,"",10+(SUM(D28,D36)+Таблицы!M80+Таблицы!U80))</f>
        <v>20</v>
      </c>
      <c r="AO29" s="228"/>
      <c r="AP29" s="436"/>
      <c r="AQ29" s="436"/>
      <c r="AR29" s="13"/>
      <c r="AS29" s="13"/>
      <c r="AT29" s="287">
        <f>IF(Таблицы!M80=20,SUM(AX29*2,BB29*2/2,INT(BF29*2/3),INT(BJ29*2/4),INT(BN29*2/5)),SUM(AX29,INT(BB29/2),INT(BF29/3),INT(BJ29/4),INT(BN29/5)))</f>
        <v>0</v>
      </c>
      <c r="AU29" s="287"/>
      <c r="AV29" s="13"/>
      <c r="AW29" s="434"/>
      <c r="AX29" s="413"/>
      <c r="AY29" s="413"/>
      <c r="AZ29" s="13"/>
      <c r="BA29" s="434"/>
      <c r="BB29" s="413"/>
      <c r="BC29" s="413"/>
      <c r="BD29" s="13"/>
      <c r="BE29" s="434"/>
      <c r="BF29" s="413"/>
      <c r="BG29" s="413"/>
      <c r="BH29" s="13"/>
      <c r="BI29" s="434"/>
      <c r="BJ29" s="413"/>
      <c r="BK29" s="413"/>
      <c r="BL29" s="22"/>
      <c r="BM29" s="434"/>
      <c r="BN29" s="413"/>
      <c r="BO29" s="413"/>
      <c r="BP29" s="13"/>
      <c r="BQ29" s="29"/>
      <c r="BR29" s="13"/>
    </row>
    <row r="30" spans="1:70" ht="7.5" customHeight="1">
      <c r="A30" s="16"/>
      <c r="B30" s="486" t="s">
        <v>116</v>
      </c>
      <c r="C30" s="346"/>
      <c r="D30" s="228">
        <f>SUM(K30+N30,IF(OR(Таблицы!F84=17,Таблицы!F85=17),Таблицы!L51,0))</f>
        <v>5</v>
      </c>
      <c r="E30" s="228"/>
      <c r="F30" s="439"/>
      <c r="G30" s="13"/>
      <c r="H30" s="354" t="str">
        <f>INDEX(Таблицы!F2:L11,Таблицы!F1,3)</f>
        <v>1/10</v>
      </c>
      <c r="I30" s="355"/>
      <c r="J30" s="356"/>
      <c r="K30" s="287">
        <f>INDEX(Таблицы!AF2:AL10,Таблицы!F1,3)</f>
        <v>5</v>
      </c>
      <c r="L30" s="287"/>
      <c r="M30" s="287"/>
      <c r="N30" s="227"/>
      <c r="O30" s="227"/>
      <c r="P30" s="227"/>
      <c r="Q30" s="13"/>
      <c r="R30" s="254"/>
      <c r="S30" s="254"/>
      <c r="T30" s="254"/>
      <c r="U30" s="254"/>
      <c r="V30" s="254"/>
      <c r="W30" s="254"/>
      <c r="X30" s="254"/>
      <c r="Y30" s="29"/>
      <c r="Z30" s="19"/>
      <c r="AA30" s="15"/>
      <c r="AB30" s="15"/>
      <c r="AC30" s="172"/>
      <c r="AD30" s="172"/>
      <c r="AE30" s="172"/>
      <c r="AF30" s="172"/>
      <c r="AG30" s="172"/>
      <c r="AH30" s="172"/>
      <c r="AI30" s="172"/>
      <c r="AJ30" s="172"/>
      <c r="AK30" s="435"/>
      <c r="AL30" s="435"/>
      <c r="AM30" s="13"/>
      <c r="AN30" s="228"/>
      <c r="AO30" s="228"/>
      <c r="AP30" s="436"/>
      <c r="AQ30" s="436"/>
      <c r="AR30" s="13"/>
      <c r="AS30" s="13"/>
      <c r="AT30" s="228"/>
      <c r="AU30" s="228"/>
      <c r="AV30" s="13"/>
      <c r="AW30" s="434"/>
      <c r="AX30" s="413"/>
      <c r="AY30" s="413"/>
      <c r="AZ30" s="13"/>
      <c r="BA30" s="434"/>
      <c r="BB30" s="413"/>
      <c r="BC30" s="413"/>
      <c r="BD30" s="13"/>
      <c r="BE30" s="434"/>
      <c r="BF30" s="413"/>
      <c r="BG30" s="413"/>
      <c r="BH30" s="13"/>
      <c r="BI30" s="434"/>
      <c r="BJ30" s="413"/>
      <c r="BK30" s="413"/>
      <c r="BL30" s="22"/>
      <c r="BM30" s="434"/>
      <c r="BN30" s="413"/>
      <c r="BO30" s="413"/>
      <c r="BP30" s="13"/>
      <c r="BQ30" s="29"/>
      <c r="BR30" s="13"/>
    </row>
    <row r="31" spans="1:70" ht="7.5" customHeight="1" thickBot="1">
      <c r="A31" s="16"/>
      <c r="B31" s="487"/>
      <c r="C31" s="347"/>
      <c r="D31" s="228"/>
      <c r="E31" s="228"/>
      <c r="F31" s="439"/>
      <c r="G31" s="13"/>
      <c r="H31" s="357"/>
      <c r="I31" s="358"/>
      <c r="J31" s="359"/>
      <c r="K31" s="228"/>
      <c r="L31" s="228"/>
      <c r="M31" s="228"/>
      <c r="N31" s="227"/>
      <c r="O31" s="227"/>
      <c r="P31" s="227"/>
      <c r="Q31" s="13"/>
      <c r="R31" s="468"/>
      <c r="S31" s="468"/>
      <c r="T31" s="468"/>
      <c r="U31" s="468"/>
      <c r="V31" s="468"/>
      <c r="W31" s="468"/>
      <c r="X31" s="468"/>
      <c r="Y31" s="29"/>
      <c r="Z31" s="19"/>
      <c r="AA31" s="15"/>
      <c r="AB31" s="15"/>
      <c r="AC31" s="172" t="s">
        <v>85</v>
      </c>
      <c r="AD31" s="172"/>
      <c r="AE31" s="172"/>
      <c r="AF31" s="172"/>
      <c r="AG31" s="172"/>
      <c r="AH31" s="172"/>
      <c r="AI31" s="172"/>
      <c r="AJ31" s="172"/>
      <c r="AK31" s="435">
        <f>SUM(AN31:AQ32)+AT31</f>
        <v>20</v>
      </c>
      <c r="AL31" s="435"/>
      <c r="AM31" s="13"/>
      <c r="AN31" s="228">
        <f>IF(D36=0,"",(D34*4)+Таблицы!M81+Таблицы!U81)</f>
        <v>20</v>
      </c>
      <c r="AO31" s="228"/>
      <c r="AP31" s="436"/>
      <c r="AQ31" s="436"/>
      <c r="AR31" s="13"/>
      <c r="AS31" s="13"/>
      <c r="AT31" s="287">
        <f>IF(Таблицы!M81=20,SUM(AX31*2,BB31*2/2,INT(BF31*2/3),INT(BJ31*2/4),INT(BN31*2/5)),SUM(AX31,INT(BB31/2),INT(BF31/3),INT(BJ31/4),INT(BN31/5)))</f>
        <v>0</v>
      </c>
      <c r="AU31" s="287"/>
      <c r="AV31" s="13"/>
      <c r="AW31" s="434"/>
      <c r="AX31" s="413"/>
      <c r="AY31" s="413"/>
      <c r="AZ31" s="13"/>
      <c r="BA31" s="434"/>
      <c r="BB31" s="413"/>
      <c r="BC31" s="413"/>
      <c r="BD31" s="13"/>
      <c r="BE31" s="434"/>
      <c r="BF31" s="413"/>
      <c r="BG31" s="413"/>
      <c r="BH31" s="13"/>
      <c r="BI31" s="434"/>
      <c r="BJ31" s="413"/>
      <c r="BK31" s="413"/>
      <c r="BL31" s="22"/>
      <c r="BM31" s="434"/>
      <c r="BN31" s="413"/>
      <c r="BO31" s="413"/>
      <c r="BP31" s="13"/>
      <c r="BQ31" s="29"/>
      <c r="BR31" s="13"/>
    </row>
    <row r="32" spans="1:70" ht="7.5" customHeight="1">
      <c r="A32" s="16"/>
      <c r="B32" s="486" t="s">
        <v>117</v>
      </c>
      <c r="C32" s="346"/>
      <c r="D32" s="228">
        <f>SUM(K32+N32,IF(OR(Таблицы!F84=17,Таблицы!F85=17),Таблицы!L52,0))</f>
        <v>5</v>
      </c>
      <c r="E32" s="228"/>
      <c r="F32" s="439"/>
      <c r="G32" s="13"/>
      <c r="H32" s="354" t="str">
        <f>INDEX(Таблицы!F2:L11,Таблицы!F1,4)</f>
        <v>1/10</v>
      </c>
      <c r="I32" s="355"/>
      <c r="J32" s="356"/>
      <c r="K32" s="287">
        <f>INDEX(Таблицы!AF2:AL10,Таблицы!F1,4)</f>
        <v>5</v>
      </c>
      <c r="L32" s="287"/>
      <c r="M32" s="287"/>
      <c r="N32" s="227"/>
      <c r="O32" s="227"/>
      <c r="P32" s="227"/>
      <c r="Q32" s="13"/>
      <c r="R32" s="448" t="s">
        <v>270</v>
      </c>
      <c r="S32" s="449"/>
      <c r="T32" s="449"/>
      <c r="U32" s="449"/>
      <c r="V32" s="449"/>
      <c r="W32" s="449"/>
      <c r="X32" s="450"/>
      <c r="Y32" s="29"/>
      <c r="Z32" s="19"/>
      <c r="AA32" s="15"/>
      <c r="AB32" s="15"/>
      <c r="AC32" s="172"/>
      <c r="AD32" s="172"/>
      <c r="AE32" s="172"/>
      <c r="AF32" s="172"/>
      <c r="AG32" s="172"/>
      <c r="AH32" s="172"/>
      <c r="AI32" s="172"/>
      <c r="AJ32" s="172"/>
      <c r="AK32" s="435"/>
      <c r="AL32" s="435"/>
      <c r="AM32" s="13"/>
      <c r="AN32" s="228"/>
      <c r="AO32" s="228"/>
      <c r="AP32" s="436"/>
      <c r="AQ32" s="436"/>
      <c r="AR32" s="13"/>
      <c r="AS32" s="13"/>
      <c r="AT32" s="228"/>
      <c r="AU32" s="228"/>
      <c r="AV32" s="13"/>
      <c r="AW32" s="434"/>
      <c r="AX32" s="413"/>
      <c r="AY32" s="413"/>
      <c r="AZ32" s="13"/>
      <c r="BA32" s="434"/>
      <c r="BB32" s="413"/>
      <c r="BC32" s="413"/>
      <c r="BD32" s="13"/>
      <c r="BE32" s="434"/>
      <c r="BF32" s="413"/>
      <c r="BG32" s="413"/>
      <c r="BH32" s="13"/>
      <c r="BI32" s="434"/>
      <c r="BJ32" s="413"/>
      <c r="BK32" s="413"/>
      <c r="BL32" s="22"/>
      <c r="BM32" s="434"/>
      <c r="BN32" s="413"/>
      <c r="BO32" s="413"/>
      <c r="BP32" s="13"/>
      <c r="BQ32" s="29"/>
      <c r="BR32" s="13"/>
    </row>
    <row r="33" spans="1:70" ht="7.5" customHeight="1" thickBot="1">
      <c r="A33" s="16"/>
      <c r="B33" s="487"/>
      <c r="C33" s="347"/>
      <c r="D33" s="228"/>
      <c r="E33" s="228"/>
      <c r="F33" s="439"/>
      <c r="G33" s="13"/>
      <c r="H33" s="357"/>
      <c r="I33" s="358"/>
      <c r="J33" s="359"/>
      <c r="K33" s="228"/>
      <c r="L33" s="228"/>
      <c r="M33" s="228"/>
      <c r="N33" s="227"/>
      <c r="O33" s="227"/>
      <c r="P33" s="227"/>
      <c r="Q33" s="13"/>
      <c r="R33" s="451"/>
      <c r="S33" s="452"/>
      <c r="T33" s="452"/>
      <c r="U33" s="452"/>
      <c r="V33" s="452"/>
      <c r="W33" s="452"/>
      <c r="X33" s="453"/>
      <c r="Y33" s="29"/>
      <c r="Z33" s="19"/>
      <c r="AA33" s="15"/>
      <c r="AB33" s="15"/>
      <c r="AC33" s="172" t="s">
        <v>86</v>
      </c>
      <c r="AD33" s="172"/>
      <c r="AE33" s="172"/>
      <c r="AF33" s="172"/>
      <c r="AG33" s="172"/>
      <c r="AH33" s="172"/>
      <c r="AI33" s="172"/>
      <c r="AJ33" s="172"/>
      <c r="AK33" s="435">
        <f>SUM(AN33:AQ34)+AT33</f>
        <v>15</v>
      </c>
      <c r="AL33" s="435"/>
      <c r="AM33" s="13"/>
      <c r="AN33" s="228">
        <f>IF(D36=0,"",(D34*3)+Таблицы!M82+Таблицы!U82)</f>
        <v>15</v>
      </c>
      <c r="AO33" s="228"/>
      <c r="AP33" s="436"/>
      <c r="AQ33" s="436"/>
      <c r="AR33" s="13"/>
      <c r="AS33" s="13"/>
      <c r="AT33" s="287">
        <f>IF(Таблицы!M82=20,SUM(AX33*2,BB33*2/2,INT(BF33*2/3),INT(BJ33*2/4),INT(BN33*2/5)),SUM(AX33,INT(BB33/2),INT(BF33/3),INT(BJ33/4),INT(BN33/5)))</f>
        <v>0</v>
      </c>
      <c r="AU33" s="287"/>
      <c r="AV33" s="13"/>
      <c r="AW33" s="434"/>
      <c r="AX33" s="413"/>
      <c r="AY33" s="413"/>
      <c r="AZ33" s="13"/>
      <c r="BA33" s="434"/>
      <c r="BB33" s="413"/>
      <c r="BC33" s="413"/>
      <c r="BD33" s="13"/>
      <c r="BE33" s="434"/>
      <c r="BF33" s="413"/>
      <c r="BG33" s="413"/>
      <c r="BH33" s="13"/>
      <c r="BI33" s="434"/>
      <c r="BJ33" s="413"/>
      <c r="BK33" s="413"/>
      <c r="BL33" s="22"/>
      <c r="BM33" s="434"/>
      <c r="BN33" s="413"/>
      <c r="BO33" s="413"/>
      <c r="BP33" s="13"/>
      <c r="BQ33" s="29"/>
      <c r="BR33" s="13"/>
    </row>
    <row r="34" spans="1:70" ht="7.5" customHeight="1">
      <c r="A34" s="16"/>
      <c r="B34" s="486" t="s">
        <v>118</v>
      </c>
      <c r="C34" s="346"/>
      <c r="D34" s="228">
        <f>SUM(K34+N34,IF(OR(Таблицы!F84=24,Таблицы!F85=24),Таблицы!L59,0),IF(OR(Таблицы!F84=17,Таблицы!F85=17),Таблицы!L53,0))</f>
        <v>5</v>
      </c>
      <c r="E34" s="228"/>
      <c r="F34" s="439"/>
      <c r="G34" s="13"/>
      <c r="H34" s="354" t="str">
        <f>INDEX(Таблицы!F2:L11,Таблицы!F1,5)</f>
        <v>1/10</v>
      </c>
      <c r="I34" s="355"/>
      <c r="J34" s="356"/>
      <c r="K34" s="287">
        <f>INDEX(Таблицы!AF2:AL10,Таблицы!F1,5)</f>
        <v>5</v>
      </c>
      <c r="L34" s="287"/>
      <c r="M34" s="287"/>
      <c r="N34" s="227"/>
      <c r="O34" s="227"/>
      <c r="P34" s="227"/>
      <c r="Q34" s="13"/>
      <c r="R34" s="254"/>
      <c r="S34" s="254"/>
      <c r="T34" s="254"/>
      <c r="U34" s="254"/>
      <c r="V34" s="254"/>
      <c r="W34" s="254"/>
      <c r="X34" s="254"/>
      <c r="Y34" s="29"/>
      <c r="Z34" s="19"/>
      <c r="AA34" s="15"/>
      <c r="AB34" s="15"/>
      <c r="AC34" s="172"/>
      <c r="AD34" s="172"/>
      <c r="AE34" s="172"/>
      <c r="AF34" s="172"/>
      <c r="AG34" s="172"/>
      <c r="AH34" s="172"/>
      <c r="AI34" s="172"/>
      <c r="AJ34" s="172"/>
      <c r="AK34" s="435"/>
      <c r="AL34" s="435"/>
      <c r="AM34" s="13"/>
      <c r="AN34" s="228"/>
      <c r="AO34" s="228"/>
      <c r="AP34" s="436"/>
      <c r="AQ34" s="436"/>
      <c r="AR34" s="13"/>
      <c r="AS34" s="13"/>
      <c r="AT34" s="228"/>
      <c r="AU34" s="228"/>
      <c r="AV34" s="13"/>
      <c r="AW34" s="434"/>
      <c r="AX34" s="413"/>
      <c r="AY34" s="413"/>
      <c r="AZ34" s="13"/>
      <c r="BA34" s="434"/>
      <c r="BB34" s="413"/>
      <c r="BC34" s="413"/>
      <c r="BD34" s="13"/>
      <c r="BE34" s="434"/>
      <c r="BF34" s="413"/>
      <c r="BG34" s="413"/>
      <c r="BH34" s="13"/>
      <c r="BI34" s="434"/>
      <c r="BJ34" s="413"/>
      <c r="BK34" s="413"/>
      <c r="BL34" s="22"/>
      <c r="BM34" s="434"/>
      <c r="BN34" s="413"/>
      <c r="BO34" s="413"/>
      <c r="BP34" s="13"/>
      <c r="BQ34" s="29"/>
      <c r="BR34" s="13"/>
    </row>
    <row r="35" spans="1:70" ht="7.5" customHeight="1" thickBot="1">
      <c r="A35" s="16"/>
      <c r="B35" s="487"/>
      <c r="C35" s="347"/>
      <c r="D35" s="228"/>
      <c r="E35" s="228"/>
      <c r="F35" s="439"/>
      <c r="G35" s="13"/>
      <c r="H35" s="357"/>
      <c r="I35" s="358"/>
      <c r="J35" s="359"/>
      <c r="K35" s="228"/>
      <c r="L35" s="228"/>
      <c r="M35" s="228"/>
      <c r="N35" s="227"/>
      <c r="O35" s="227"/>
      <c r="P35" s="227"/>
      <c r="Q35" s="13"/>
      <c r="R35" s="468"/>
      <c r="S35" s="468"/>
      <c r="T35" s="468"/>
      <c r="U35" s="468"/>
      <c r="V35" s="468"/>
      <c r="W35" s="468"/>
      <c r="X35" s="468"/>
      <c r="Y35" s="29"/>
      <c r="Z35" s="19"/>
      <c r="AA35" s="15"/>
      <c r="AB35" s="15"/>
      <c r="AC35" s="172" t="s">
        <v>87</v>
      </c>
      <c r="AD35" s="172"/>
      <c r="AE35" s="172"/>
      <c r="AF35" s="172"/>
      <c r="AG35" s="172"/>
      <c r="AH35" s="172"/>
      <c r="AI35" s="172"/>
      <c r="AJ35" s="172"/>
      <c r="AK35" s="435">
        <f>SUM(AN35:AQ36)+AT35</f>
        <v>20</v>
      </c>
      <c r="AL35" s="435"/>
      <c r="AM35" s="13"/>
      <c r="AN35" s="228">
        <f>IF(D36=0,"",(2*SUM(D28,D36)+Таблицы!M83+Таблицы!U83))</f>
        <v>20</v>
      </c>
      <c r="AO35" s="228"/>
      <c r="AP35" s="436"/>
      <c r="AQ35" s="436"/>
      <c r="AR35" s="13"/>
      <c r="AS35" s="13"/>
      <c r="AT35" s="287">
        <f>IF(Таблицы!M83=20,SUM(AX35*2,BB35*2/2,INT(BF35*2/3),INT(BJ35*2/4),INT(BN35*2/5)),SUM(AX35,INT(BB35/2),INT(BF35/3),INT(BJ35/4),INT(BN35/5)))</f>
        <v>0</v>
      </c>
      <c r="AU35" s="287"/>
      <c r="AV35" s="13"/>
      <c r="AW35" s="434"/>
      <c r="AX35" s="413"/>
      <c r="AY35" s="413"/>
      <c r="AZ35" s="13"/>
      <c r="BA35" s="434"/>
      <c r="BB35" s="413"/>
      <c r="BC35" s="413"/>
      <c r="BD35" s="13"/>
      <c r="BE35" s="434"/>
      <c r="BF35" s="413"/>
      <c r="BG35" s="413"/>
      <c r="BH35" s="13"/>
      <c r="BI35" s="434"/>
      <c r="BJ35" s="413"/>
      <c r="BK35" s="413"/>
      <c r="BL35" s="22"/>
      <c r="BM35" s="434"/>
      <c r="BN35" s="413"/>
      <c r="BO35" s="413"/>
      <c r="BP35" s="13"/>
      <c r="BQ35" s="29"/>
      <c r="BR35" s="13"/>
    </row>
    <row r="36" spans="1:70" ht="7.5" customHeight="1">
      <c r="A36" s="16"/>
      <c r="B36" s="486" t="s">
        <v>119</v>
      </c>
      <c r="C36" s="346"/>
      <c r="D36" s="228">
        <f>SUM(K36+N36,IF(OR(Таблицы!F84=4,Таблицы!F85=4),Таблицы!L40,0),IF(OR(Таблицы!F84=17,Таблицы!F85=17),Таблицы!L54,0))</f>
        <v>5</v>
      </c>
      <c r="E36" s="228"/>
      <c r="F36" s="439"/>
      <c r="G36" s="13"/>
      <c r="H36" s="354" t="str">
        <f>INDEX(Таблицы!F2:L11,Таблицы!F1,6)</f>
        <v>1/10</v>
      </c>
      <c r="I36" s="355"/>
      <c r="J36" s="356"/>
      <c r="K36" s="287">
        <f>INDEX(Таблицы!AF2:AL10,Таблицы!F1,6)</f>
        <v>5</v>
      </c>
      <c r="L36" s="287"/>
      <c r="M36" s="287"/>
      <c r="N36" s="342"/>
      <c r="O36" s="437"/>
      <c r="P36" s="343"/>
      <c r="Q36" s="13"/>
      <c r="R36" s="448" t="s">
        <v>273</v>
      </c>
      <c r="S36" s="449"/>
      <c r="T36" s="449"/>
      <c r="U36" s="449"/>
      <c r="V36" s="449"/>
      <c r="W36" s="449"/>
      <c r="X36" s="450"/>
      <c r="Y36" s="29"/>
      <c r="Z36" s="19"/>
      <c r="AA36" s="15"/>
      <c r="AB36" s="15"/>
      <c r="AC36" s="172"/>
      <c r="AD36" s="172"/>
      <c r="AE36" s="172"/>
      <c r="AF36" s="172"/>
      <c r="AG36" s="172"/>
      <c r="AH36" s="172"/>
      <c r="AI36" s="172"/>
      <c r="AJ36" s="172"/>
      <c r="AK36" s="435"/>
      <c r="AL36" s="435"/>
      <c r="AM36" s="13"/>
      <c r="AN36" s="228"/>
      <c r="AO36" s="228"/>
      <c r="AP36" s="436"/>
      <c r="AQ36" s="436"/>
      <c r="AR36" s="13"/>
      <c r="AS36" s="13"/>
      <c r="AT36" s="228"/>
      <c r="AU36" s="228"/>
      <c r="AV36" s="13"/>
      <c r="AW36" s="434"/>
      <c r="AX36" s="413"/>
      <c r="AY36" s="413"/>
      <c r="AZ36" s="13"/>
      <c r="BA36" s="434"/>
      <c r="BB36" s="413"/>
      <c r="BC36" s="413"/>
      <c r="BD36" s="13"/>
      <c r="BE36" s="434"/>
      <c r="BF36" s="413"/>
      <c r="BG36" s="413"/>
      <c r="BH36" s="13"/>
      <c r="BI36" s="434"/>
      <c r="BJ36" s="413"/>
      <c r="BK36" s="413"/>
      <c r="BL36" s="22"/>
      <c r="BM36" s="434"/>
      <c r="BN36" s="413"/>
      <c r="BO36" s="413"/>
      <c r="BP36" s="13"/>
      <c r="BQ36" s="29"/>
      <c r="BR36" s="13"/>
    </row>
    <row r="37" spans="1:70" ht="7.5" customHeight="1" thickBot="1">
      <c r="A37" s="16"/>
      <c r="B37" s="487"/>
      <c r="C37" s="347"/>
      <c r="D37" s="228"/>
      <c r="E37" s="228"/>
      <c r="F37" s="439"/>
      <c r="G37" s="13"/>
      <c r="H37" s="357"/>
      <c r="I37" s="358"/>
      <c r="J37" s="359"/>
      <c r="K37" s="228"/>
      <c r="L37" s="228"/>
      <c r="M37" s="228"/>
      <c r="N37" s="344"/>
      <c r="O37" s="438"/>
      <c r="P37" s="345"/>
      <c r="Q37" s="13"/>
      <c r="R37" s="451"/>
      <c r="S37" s="452"/>
      <c r="T37" s="452"/>
      <c r="U37" s="452"/>
      <c r="V37" s="452"/>
      <c r="W37" s="452"/>
      <c r="X37" s="453"/>
      <c r="Y37" s="29"/>
      <c r="Z37" s="19"/>
      <c r="AA37" s="15"/>
      <c r="AB37" s="15"/>
      <c r="AC37" s="172" t="s">
        <v>88</v>
      </c>
      <c r="AD37" s="172"/>
      <c r="AE37" s="172"/>
      <c r="AF37" s="172"/>
      <c r="AG37" s="172"/>
      <c r="AH37" s="172"/>
      <c r="AI37" s="172"/>
      <c r="AJ37" s="172"/>
      <c r="AK37" s="435">
        <f>SUM(AN37:AQ38)+AT37</f>
        <v>25</v>
      </c>
      <c r="AL37" s="435"/>
      <c r="AM37" s="13"/>
      <c r="AN37" s="228">
        <f>IF(D36=0,"",(D32*5)+Таблицы!M84+Таблицы!U84)</f>
        <v>25</v>
      </c>
      <c r="AO37" s="228"/>
      <c r="AP37" s="436"/>
      <c r="AQ37" s="436"/>
      <c r="AR37" s="13"/>
      <c r="AS37" s="13"/>
      <c r="AT37" s="287">
        <f>IF(Таблицы!M84=20,SUM(AX37*2,BB37*2/2,INT(BF37*2/3),INT(BJ37*2/4),INT(BN37*2/5)),SUM(AX37,INT(BB37/2),INT(BF37/3),INT(BJ37/4),INT(BN37/5)))</f>
        <v>0</v>
      </c>
      <c r="AU37" s="287"/>
      <c r="AV37" s="13"/>
      <c r="AW37" s="434"/>
      <c r="AX37" s="413"/>
      <c r="AY37" s="413"/>
      <c r="AZ37" s="13"/>
      <c r="BA37" s="434"/>
      <c r="BB37" s="413"/>
      <c r="BC37" s="413"/>
      <c r="BD37" s="13"/>
      <c r="BE37" s="434"/>
      <c r="BF37" s="413"/>
      <c r="BG37" s="413"/>
      <c r="BH37" s="13"/>
      <c r="BI37" s="434"/>
      <c r="BJ37" s="413"/>
      <c r="BK37" s="413"/>
      <c r="BL37" s="22"/>
      <c r="BM37" s="434"/>
      <c r="BN37" s="413"/>
      <c r="BO37" s="413"/>
      <c r="BP37" s="13"/>
      <c r="BQ37" s="29"/>
      <c r="BR37" s="13"/>
    </row>
    <row r="38" spans="1:70" ht="7.5" customHeight="1">
      <c r="A38" s="19"/>
      <c r="B38" s="462" t="s">
        <v>120</v>
      </c>
      <c r="C38" s="172"/>
      <c r="D38" s="228">
        <f>SUM(K38+N38,IF(OR(Таблицы!F84=17,Таблицы!F85=17),Таблицы!L55,0))</f>
        <v>5</v>
      </c>
      <c r="E38" s="228"/>
      <c r="F38" s="439"/>
      <c r="G38" s="13"/>
      <c r="H38" s="354" t="str">
        <f>INDEX(Таблицы!F2:L11,Таблицы!F1,7)</f>
        <v>1/10</v>
      </c>
      <c r="I38" s="355"/>
      <c r="J38" s="356"/>
      <c r="K38" s="287">
        <f>INDEX(Таблицы!AF2:AL10,Таблицы!F1,7)</f>
        <v>5</v>
      </c>
      <c r="L38" s="287"/>
      <c r="M38" s="287"/>
      <c r="N38" s="227"/>
      <c r="O38" s="227"/>
      <c r="P38" s="227"/>
      <c r="Q38" s="13"/>
      <c r="R38" s="469"/>
      <c r="S38" s="469"/>
      <c r="T38" s="469"/>
      <c r="U38" s="469"/>
      <c r="V38" s="469"/>
      <c r="W38" s="469"/>
      <c r="X38" s="469"/>
      <c r="Y38" s="29"/>
      <c r="Z38" s="19"/>
      <c r="AA38" s="15"/>
      <c r="AB38" s="15"/>
      <c r="AC38" s="172"/>
      <c r="AD38" s="172"/>
      <c r="AE38" s="172"/>
      <c r="AF38" s="172"/>
      <c r="AG38" s="172"/>
      <c r="AH38" s="172"/>
      <c r="AI38" s="172"/>
      <c r="AJ38" s="172"/>
      <c r="AK38" s="435"/>
      <c r="AL38" s="435"/>
      <c r="AM38" s="13"/>
      <c r="AN38" s="228"/>
      <c r="AO38" s="228"/>
      <c r="AP38" s="436"/>
      <c r="AQ38" s="436"/>
      <c r="AR38" s="13"/>
      <c r="AS38" s="13"/>
      <c r="AT38" s="228"/>
      <c r="AU38" s="228"/>
      <c r="AV38" s="13"/>
      <c r="AW38" s="434"/>
      <c r="AX38" s="413"/>
      <c r="AY38" s="413"/>
      <c r="AZ38" s="13"/>
      <c r="BA38" s="434"/>
      <c r="BB38" s="413"/>
      <c r="BC38" s="413"/>
      <c r="BD38" s="13"/>
      <c r="BE38" s="434"/>
      <c r="BF38" s="413"/>
      <c r="BG38" s="413"/>
      <c r="BH38" s="13"/>
      <c r="BI38" s="434"/>
      <c r="BJ38" s="413"/>
      <c r="BK38" s="413"/>
      <c r="BL38" s="22"/>
      <c r="BM38" s="434"/>
      <c r="BN38" s="413"/>
      <c r="BO38" s="413"/>
      <c r="BP38" s="13"/>
      <c r="BQ38" s="29"/>
      <c r="BR38" s="13"/>
    </row>
    <row r="39" spans="1:70" ht="7.5" customHeight="1" thickBot="1">
      <c r="A39" s="16"/>
      <c r="B39" s="463"/>
      <c r="C39" s="464"/>
      <c r="D39" s="440"/>
      <c r="E39" s="440"/>
      <c r="F39" s="441"/>
      <c r="G39" s="13"/>
      <c r="H39" s="357"/>
      <c r="I39" s="358"/>
      <c r="J39" s="359"/>
      <c r="K39" s="228"/>
      <c r="L39" s="228"/>
      <c r="M39" s="228"/>
      <c r="N39" s="227"/>
      <c r="O39" s="227"/>
      <c r="P39" s="227"/>
      <c r="Q39" s="13"/>
      <c r="R39" s="470"/>
      <c r="S39" s="470"/>
      <c r="T39" s="470"/>
      <c r="U39" s="470"/>
      <c r="V39" s="470"/>
      <c r="W39" s="470"/>
      <c r="X39" s="470"/>
      <c r="Y39" s="29"/>
      <c r="Z39" s="19"/>
      <c r="AA39" s="15"/>
      <c r="AB39" s="15"/>
      <c r="AC39" s="172" t="s">
        <v>89</v>
      </c>
      <c r="AD39" s="172"/>
      <c r="AE39" s="172"/>
      <c r="AF39" s="172"/>
      <c r="AG39" s="172"/>
      <c r="AH39" s="172"/>
      <c r="AI39" s="172"/>
      <c r="AJ39" s="172"/>
      <c r="AK39" s="435">
        <f>SUM(AN39:AQ40)+AT39</f>
        <v>20</v>
      </c>
      <c r="AL39" s="435"/>
      <c r="AM39" s="13"/>
      <c r="AN39" s="228">
        <f>IF(D36=0,"",(D32*4)+Таблицы!M85+Таблицы!U85)</f>
        <v>20</v>
      </c>
      <c r="AO39" s="228"/>
      <c r="AP39" s="436"/>
      <c r="AQ39" s="436"/>
      <c r="AR39" s="13"/>
      <c r="AS39" s="13"/>
      <c r="AT39" s="287">
        <f>IF(Таблицы!M85=20,SUM(AX39*2,BB39*2/2,INT(BF39*2/3),INT(BJ39*2/4),INT(BN39*2/5)),SUM(AX39,INT(BB39/2),INT(BF39/3),INT(BJ39/4),INT(BN39/5)))</f>
        <v>0</v>
      </c>
      <c r="AU39" s="287"/>
      <c r="AV39" s="13"/>
      <c r="AW39" s="434"/>
      <c r="AX39" s="413"/>
      <c r="AY39" s="413"/>
      <c r="AZ39" s="13"/>
      <c r="BA39" s="434"/>
      <c r="BB39" s="413"/>
      <c r="BC39" s="413"/>
      <c r="BD39" s="13"/>
      <c r="BE39" s="434"/>
      <c r="BF39" s="413"/>
      <c r="BG39" s="413"/>
      <c r="BH39" s="13"/>
      <c r="BI39" s="434"/>
      <c r="BJ39" s="413"/>
      <c r="BK39" s="413"/>
      <c r="BL39" s="22"/>
      <c r="BM39" s="434"/>
      <c r="BN39" s="413"/>
      <c r="BO39" s="413"/>
      <c r="BP39" s="13"/>
      <c r="BQ39" s="29"/>
      <c r="BR39" s="13"/>
    </row>
    <row r="40" spans="1:70" ht="7.5" customHeight="1">
      <c r="A40" s="65"/>
      <c r="B40" s="67"/>
      <c r="C40" s="67"/>
      <c r="D40" s="46"/>
      <c r="E40" s="46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63"/>
      <c r="X40" s="63"/>
      <c r="Y40" s="66"/>
      <c r="Z40" s="19"/>
      <c r="AA40" s="15"/>
      <c r="AB40" s="15"/>
      <c r="AC40" s="172"/>
      <c r="AD40" s="172"/>
      <c r="AE40" s="172"/>
      <c r="AF40" s="172"/>
      <c r="AG40" s="172"/>
      <c r="AH40" s="172"/>
      <c r="AI40" s="172"/>
      <c r="AJ40" s="172"/>
      <c r="AK40" s="435"/>
      <c r="AL40" s="435"/>
      <c r="AM40" s="13"/>
      <c r="AN40" s="228"/>
      <c r="AO40" s="228"/>
      <c r="AP40" s="436"/>
      <c r="AQ40" s="436"/>
      <c r="AR40" s="13"/>
      <c r="AS40" s="13"/>
      <c r="AT40" s="228"/>
      <c r="AU40" s="228"/>
      <c r="AV40" s="13"/>
      <c r="AW40" s="434"/>
      <c r="AX40" s="413"/>
      <c r="AY40" s="413"/>
      <c r="AZ40" s="13"/>
      <c r="BA40" s="434"/>
      <c r="BB40" s="413"/>
      <c r="BC40" s="413"/>
      <c r="BD40" s="13"/>
      <c r="BE40" s="434"/>
      <c r="BF40" s="413"/>
      <c r="BG40" s="413"/>
      <c r="BH40" s="13"/>
      <c r="BI40" s="434"/>
      <c r="BJ40" s="413"/>
      <c r="BK40" s="413"/>
      <c r="BL40" s="13"/>
      <c r="BM40" s="434"/>
      <c r="BN40" s="413"/>
      <c r="BO40" s="413"/>
      <c r="BP40" s="13"/>
      <c r="BQ40" s="29"/>
      <c r="BR40" s="13"/>
    </row>
    <row r="41" spans="1:70" ht="7.5" customHeight="1" thickBot="1">
      <c r="A41" s="19"/>
      <c r="B41" s="7"/>
      <c r="C41" s="7"/>
      <c r="D41" s="13"/>
      <c r="E41" s="13"/>
      <c r="F41" s="3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4"/>
      <c r="X41" s="4"/>
      <c r="Y41" s="29"/>
      <c r="Z41" s="19"/>
      <c r="AA41" s="15"/>
      <c r="AB41" s="15"/>
      <c r="AC41" s="172" t="s">
        <v>90</v>
      </c>
      <c r="AD41" s="172"/>
      <c r="AE41" s="172"/>
      <c r="AF41" s="172"/>
      <c r="AG41" s="172"/>
      <c r="AH41" s="172"/>
      <c r="AI41" s="172"/>
      <c r="AJ41" s="172"/>
      <c r="AK41" s="435">
        <f>SUM(AN41:AQ42)+AT41</f>
        <v>25</v>
      </c>
      <c r="AL41" s="435"/>
      <c r="AM41" s="13"/>
      <c r="AN41" s="228">
        <f>IF(D36=0,"",(D38*5)+Таблицы!M86+Таблицы!U86)</f>
        <v>25</v>
      </c>
      <c r="AO41" s="228"/>
      <c r="AP41" s="436"/>
      <c r="AQ41" s="436"/>
      <c r="AR41" s="13"/>
      <c r="AS41" s="13"/>
      <c r="AT41" s="287">
        <f>IF(Таблицы!M86=20,SUM(AX41*2,BB41*2/2,INT(BF41*2/3),INT(BJ41*2/4),INT(BN41*2/5)),SUM(AX41,INT(BB41/2),INT(BF41/3),INT(BJ41/4),INT(BN41/5)))</f>
        <v>0</v>
      </c>
      <c r="AU41" s="287"/>
      <c r="AV41" s="13"/>
      <c r="AW41" s="434"/>
      <c r="AX41" s="413"/>
      <c r="AY41" s="413"/>
      <c r="AZ41" s="13"/>
      <c r="BA41" s="434"/>
      <c r="BB41" s="413"/>
      <c r="BC41" s="413"/>
      <c r="BD41" s="13"/>
      <c r="BE41" s="434"/>
      <c r="BF41" s="413"/>
      <c r="BG41" s="413"/>
      <c r="BH41" s="13"/>
      <c r="BI41" s="434"/>
      <c r="BJ41" s="413"/>
      <c r="BK41" s="413"/>
      <c r="BL41" s="13"/>
      <c r="BM41" s="434"/>
      <c r="BN41" s="413"/>
      <c r="BO41" s="413"/>
      <c r="BP41" s="13"/>
      <c r="BQ41" s="29"/>
      <c r="BR41" s="13"/>
    </row>
    <row r="42" spans="1:70" ht="7.5" customHeight="1">
      <c r="A42" s="19"/>
      <c r="B42" s="423" t="s">
        <v>257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 t="s">
        <v>222</v>
      </c>
      <c r="P42" s="424"/>
      <c r="Q42" s="425"/>
      <c r="R42" s="13"/>
      <c r="S42" s="454" t="s">
        <v>74</v>
      </c>
      <c r="T42" s="455"/>
      <c r="U42" s="455"/>
      <c r="V42" s="458" t="s">
        <v>8</v>
      </c>
      <c r="W42" s="458"/>
      <c r="X42" s="459"/>
      <c r="Y42" s="29"/>
      <c r="Z42" s="19"/>
      <c r="AA42" s="15"/>
      <c r="AB42" s="15"/>
      <c r="AC42" s="172"/>
      <c r="AD42" s="172"/>
      <c r="AE42" s="172"/>
      <c r="AF42" s="172"/>
      <c r="AG42" s="172"/>
      <c r="AH42" s="172"/>
      <c r="AI42" s="172"/>
      <c r="AJ42" s="172"/>
      <c r="AK42" s="435"/>
      <c r="AL42" s="435"/>
      <c r="AM42" s="13"/>
      <c r="AN42" s="228"/>
      <c r="AO42" s="228"/>
      <c r="AP42" s="436"/>
      <c r="AQ42" s="436"/>
      <c r="AR42" s="13"/>
      <c r="AS42" s="13"/>
      <c r="AT42" s="228"/>
      <c r="AU42" s="228"/>
      <c r="AV42" s="13"/>
      <c r="AW42" s="434"/>
      <c r="AX42" s="413"/>
      <c r="AY42" s="413"/>
      <c r="AZ42" s="13"/>
      <c r="BA42" s="434"/>
      <c r="BB42" s="413"/>
      <c r="BC42" s="413"/>
      <c r="BD42" s="13"/>
      <c r="BE42" s="434"/>
      <c r="BF42" s="413"/>
      <c r="BG42" s="413"/>
      <c r="BH42" s="13"/>
      <c r="BI42" s="434"/>
      <c r="BJ42" s="413"/>
      <c r="BK42" s="413"/>
      <c r="BL42" s="13"/>
      <c r="BM42" s="434"/>
      <c r="BN42" s="413"/>
      <c r="BO42" s="413"/>
      <c r="BP42" s="13"/>
      <c r="BQ42" s="29"/>
      <c r="BR42" s="13"/>
    </row>
    <row r="43" spans="1:70" ht="7.5" customHeight="1" thickBot="1">
      <c r="A43" s="16"/>
      <c r="B43" s="426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8"/>
      <c r="R43" s="13"/>
      <c r="S43" s="456"/>
      <c r="T43" s="457"/>
      <c r="U43" s="457"/>
      <c r="V43" s="460"/>
      <c r="W43" s="460"/>
      <c r="X43" s="461"/>
      <c r="Y43" s="29"/>
      <c r="Z43" s="19"/>
      <c r="AA43" s="15"/>
      <c r="AB43" s="15"/>
      <c r="AC43" s="172" t="s">
        <v>91</v>
      </c>
      <c r="AD43" s="172"/>
      <c r="AE43" s="172"/>
      <c r="AF43" s="172"/>
      <c r="AG43" s="172"/>
      <c r="AH43" s="172"/>
      <c r="AI43" s="172"/>
      <c r="AJ43" s="172"/>
      <c r="AK43" s="435">
        <f>SUM(AN43:AQ44)+AT43</f>
        <v>20</v>
      </c>
      <c r="AL43" s="435"/>
      <c r="AM43" s="13"/>
      <c r="AN43" s="228">
        <f>IF(D36=0,"",(2*SUM(D34,D30)+Таблицы!M87+Таблицы!U87))</f>
        <v>20</v>
      </c>
      <c r="AO43" s="228"/>
      <c r="AP43" s="436"/>
      <c r="AQ43" s="436"/>
      <c r="AR43" s="13"/>
      <c r="AS43" s="13"/>
      <c r="AT43" s="287">
        <f>IF(Таблицы!M87=20,SUM(AX43*2,BB43*2/2,INT(BF43*2/3),INT(BJ43*2/4),INT(BN43*2/5)),SUM(AX43,INT(BB43/2),INT(BF43/3),INT(BJ43/4),INT(BN43/5)))</f>
        <v>0</v>
      </c>
      <c r="AU43" s="287"/>
      <c r="AV43" s="13"/>
      <c r="AW43" s="434"/>
      <c r="AX43" s="413"/>
      <c r="AY43" s="413"/>
      <c r="AZ43" s="13"/>
      <c r="BA43" s="434"/>
      <c r="BB43" s="413"/>
      <c r="BC43" s="413"/>
      <c r="BD43" s="13"/>
      <c r="BE43" s="434"/>
      <c r="BF43" s="413"/>
      <c r="BG43" s="413"/>
      <c r="BH43" s="13"/>
      <c r="BI43" s="434"/>
      <c r="BJ43" s="413"/>
      <c r="BK43" s="413"/>
      <c r="BL43" s="13"/>
      <c r="BM43" s="434"/>
      <c r="BN43" s="413"/>
      <c r="BO43" s="413"/>
      <c r="BP43" s="13"/>
      <c r="BQ43" s="29"/>
      <c r="BR43" s="13"/>
    </row>
    <row r="44" spans="1:70" ht="7.5" customHeight="1">
      <c r="A44" s="19"/>
      <c r="B44" s="336" t="s">
        <v>72</v>
      </c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287">
        <f>SUM(S44:X45)</f>
        <v>30</v>
      </c>
      <c r="P44" s="287"/>
      <c r="Q44" s="465"/>
      <c r="R44" s="13"/>
      <c r="S44" s="472">
        <f>15+(D26+(2*D30))+G20*(B16-1)+INDEX(Таблицы!T2:T10,Таблицы!F1,1)</f>
        <v>30</v>
      </c>
      <c r="T44" s="472"/>
      <c r="U44" s="472"/>
      <c r="V44" s="254"/>
      <c r="W44" s="254"/>
      <c r="X44" s="254"/>
      <c r="Y44" s="29"/>
      <c r="Z44" s="19"/>
      <c r="AA44" s="15"/>
      <c r="AB44" s="8"/>
      <c r="AC44" s="172"/>
      <c r="AD44" s="172"/>
      <c r="AE44" s="172"/>
      <c r="AF44" s="172"/>
      <c r="AG44" s="172"/>
      <c r="AH44" s="172"/>
      <c r="AI44" s="172"/>
      <c r="AJ44" s="172"/>
      <c r="AK44" s="435"/>
      <c r="AL44" s="435"/>
      <c r="AM44" s="13"/>
      <c r="AN44" s="228"/>
      <c r="AO44" s="228"/>
      <c r="AP44" s="436"/>
      <c r="AQ44" s="436"/>
      <c r="AR44" s="15"/>
      <c r="AS44" s="13"/>
      <c r="AT44" s="228"/>
      <c r="AU44" s="228"/>
      <c r="AV44" s="13"/>
      <c r="AW44" s="434"/>
      <c r="AX44" s="413"/>
      <c r="AY44" s="413"/>
      <c r="AZ44" s="13"/>
      <c r="BA44" s="434"/>
      <c r="BB44" s="413"/>
      <c r="BC44" s="413"/>
      <c r="BD44" s="13"/>
      <c r="BE44" s="434"/>
      <c r="BF44" s="413"/>
      <c r="BG44" s="413"/>
      <c r="BH44" s="13"/>
      <c r="BI44" s="434"/>
      <c r="BJ44" s="413"/>
      <c r="BK44" s="413"/>
      <c r="BL44" s="13"/>
      <c r="BM44" s="434"/>
      <c r="BN44" s="413"/>
      <c r="BO44" s="413"/>
      <c r="BP44" s="13"/>
      <c r="BQ44" s="29"/>
      <c r="BR44" s="13"/>
    </row>
    <row r="45" spans="1:81" ht="7.5" customHeight="1">
      <c r="A45" s="16"/>
      <c r="B45" s="408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228"/>
      <c r="P45" s="228"/>
      <c r="Q45" s="439"/>
      <c r="R45" s="13"/>
      <c r="S45" s="473"/>
      <c r="T45" s="473"/>
      <c r="U45" s="473"/>
      <c r="V45" s="227"/>
      <c r="W45" s="227"/>
      <c r="X45" s="227"/>
      <c r="Y45" s="29"/>
      <c r="Z45" s="65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66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</row>
    <row r="46" spans="1:70" ht="7.5" customHeight="1" thickBot="1">
      <c r="A46" s="19"/>
      <c r="B46" s="408" t="s">
        <v>259</v>
      </c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228">
        <f>SUM(S46:X47)</f>
        <v>150</v>
      </c>
      <c r="P46" s="228"/>
      <c r="Q46" s="439"/>
      <c r="R46" s="13"/>
      <c r="S46" s="471">
        <f>IF(OR(Таблицы!F84=4,Таблицы!F85=4),D26*15,25+(D26*25))</f>
        <v>150</v>
      </c>
      <c r="T46" s="471"/>
      <c r="U46" s="471"/>
      <c r="V46" s="227"/>
      <c r="W46" s="227"/>
      <c r="X46" s="227"/>
      <c r="Y46" s="29"/>
      <c r="Z46" s="19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5"/>
      <c r="AX46" s="15"/>
      <c r="AY46" s="15"/>
      <c r="AZ46" s="15"/>
      <c r="BA46" s="15"/>
      <c r="BB46" s="15"/>
      <c r="BC46" s="15"/>
      <c r="BD46" s="15"/>
      <c r="BE46" s="13"/>
      <c r="BF46" s="13"/>
      <c r="BG46" s="13"/>
      <c r="BH46" s="15"/>
      <c r="BI46" s="15"/>
      <c r="BJ46" s="13"/>
      <c r="BK46" s="13"/>
      <c r="BL46" s="13"/>
      <c r="BM46" s="13"/>
      <c r="BN46" s="13"/>
      <c r="BO46" s="13"/>
      <c r="BP46" s="13"/>
      <c r="BQ46" s="29"/>
      <c r="BR46" s="13"/>
    </row>
    <row r="47" spans="1:70" ht="7.5" customHeight="1">
      <c r="A47" s="16"/>
      <c r="B47" s="408"/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228"/>
      <c r="P47" s="228"/>
      <c r="Q47" s="439"/>
      <c r="R47" s="13"/>
      <c r="S47" s="471"/>
      <c r="T47" s="471"/>
      <c r="U47" s="471"/>
      <c r="V47" s="227"/>
      <c r="W47" s="227"/>
      <c r="X47" s="227"/>
      <c r="Y47" s="29"/>
      <c r="Z47" s="19"/>
      <c r="AA47" s="13"/>
      <c r="AH47" s="176" t="s">
        <v>96</v>
      </c>
      <c r="AI47" s="177"/>
      <c r="AJ47" s="177"/>
      <c r="AK47" s="177"/>
      <c r="AL47" s="177"/>
      <c r="AM47" s="177"/>
      <c r="AN47" s="177"/>
      <c r="AO47" s="177"/>
      <c r="AP47" s="177"/>
      <c r="AQ47" s="177"/>
      <c r="AR47" s="178"/>
      <c r="AS47" s="23"/>
      <c r="AT47" s="402" t="s">
        <v>102</v>
      </c>
      <c r="AU47" s="263"/>
      <c r="AV47" s="263"/>
      <c r="AW47" s="263"/>
      <c r="AX47" s="263"/>
      <c r="AY47" s="263"/>
      <c r="AZ47" s="263"/>
      <c r="BA47" s="263"/>
      <c r="BB47" s="262" t="s">
        <v>276</v>
      </c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4"/>
      <c r="BP47" s="13"/>
      <c r="BQ47" s="29"/>
      <c r="BR47" s="13"/>
    </row>
    <row r="48" spans="1:70" ht="7.5" customHeight="1">
      <c r="A48" s="19"/>
      <c r="B48" s="408" t="s">
        <v>260</v>
      </c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228">
        <f>SUM(S48:X49)</f>
        <v>7</v>
      </c>
      <c r="P48" s="228"/>
      <c r="Q48" s="439"/>
      <c r="R48" s="13"/>
      <c r="S48" s="471">
        <f>IF(K26="","",SUM(ROUNDDOWN(5+(D36/2),0),IF(OR(Таблицы!F84=3,Таблицы!F85=3),Таблицы!L39,0)))</f>
        <v>7</v>
      </c>
      <c r="T48" s="471"/>
      <c r="U48" s="471"/>
      <c r="V48" s="227"/>
      <c r="W48" s="227"/>
      <c r="X48" s="227"/>
      <c r="Y48" s="29"/>
      <c r="Z48" s="19"/>
      <c r="AA48" s="4"/>
      <c r="AH48" s="179"/>
      <c r="AI48" s="180"/>
      <c r="AJ48" s="180"/>
      <c r="AK48" s="180"/>
      <c r="AL48" s="180"/>
      <c r="AM48" s="180"/>
      <c r="AN48" s="180"/>
      <c r="AO48" s="180"/>
      <c r="AP48" s="180"/>
      <c r="AQ48" s="180"/>
      <c r="AR48" s="181"/>
      <c r="AS48" s="23"/>
      <c r="AT48" s="403"/>
      <c r="AU48" s="266"/>
      <c r="AV48" s="266"/>
      <c r="AW48" s="266"/>
      <c r="AX48" s="266"/>
      <c r="AY48" s="266"/>
      <c r="AZ48" s="266"/>
      <c r="BA48" s="266"/>
      <c r="BB48" s="265"/>
      <c r="BC48" s="266"/>
      <c r="BD48" s="266"/>
      <c r="BE48" s="266"/>
      <c r="BF48" s="266"/>
      <c r="BG48" s="266"/>
      <c r="BH48" s="266"/>
      <c r="BI48" s="266"/>
      <c r="BJ48" s="266"/>
      <c r="BK48" s="266"/>
      <c r="BL48" s="266"/>
      <c r="BM48" s="266"/>
      <c r="BN48" s="266"/>
      <c r="BO48" s="267"/>
      <c r="BP48" s="13"/>
      <c r="BQ48" s="29"/>
      <c r="BR48" s="13"/>
    </row>
    <row r="49" spans="1:70" ht="7.5" customHeight="1" thickBot="1">
      <c r="A49" s="24"/>
      <c r="B49" s="40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228"/>
      <c r="P49" s="228"/>
      <c r="Q49" s="439"/>
      <c r="R49" s="13"/>
      <c r="S49" s="471"/>
      <c r="T49" s="471"/>
      <c r="U49" s="471"/>
      <c r="V49" s="227"/>
      <c r="W49" s="227"/>
      <c r="X49" s="227"/>
      <c r="Y49" s="29"/>
      <c r="Z49" s="3"/>
      <c r="AA49" s="4"/>
      <c r="AH49" s="173"/>
      <c r="AI49" s="174"/>
      <c r="AJ49" s="174"/>
      <c r="AK49" s="174"/>
      <c r="AL49" s="174"/>
      <c r="AM49" s="174"/>
      <c r="AN49" s="174"/>
      <c r="AO49" s="174"/>
      <c r="AP49" s="174"/>
      <c r="AQ49" s="174"/>
      <c r="AR49" s="175"/>
      <c r="AS49" s="13"/>
      <c r="AT49" s="404"/>
      <c r="AU49" s="269"/>
      <c r="AV49" s="269"/>
      <c r="AW49" s="269"/>
      <c r="AX49" s="269"/>
      <c r="AY49" s="269"/>
      <c r="AZ49" s="269"/>
      <c r="BA49" s="269"/>
      <c r="BB49" s="268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70"/>
      <c r="BP49" s="13"/>
      <c r="BQ49" s="29"/>
      <c r="BR49" s="13"/>
    </row>
    <row r="50" spans="1:70" ht="7.5" customHeight="1">
      <c r="A50" s="24"/>
      <c r="B50" s="408" t="s">
        <v>261</v>
      </c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228">
        <f>SUM(S50:X51)</f>
        <v>10</v>
      </c>
      <c r="P50" s="228"/>
      <c r="Q50" s="439"/>
      <c r="R50" s="13"/>
      <c r="S50" s="471">
        <f>IF(OR(Таблицы!F84=7,Таблицы!F85=7),SUM(2*D28,Таблицы!L44),2*D28)</f>
        <v>10</v>
      </c>
      <c r="T50" s="471"/>
      <c r="U50" s="471"/>
      <c r="V50" s="227"/>
      <c r="W50" s="227"/>
      <c r="X50" s="227"/>
      <c r="Y50" s="29"/>
      <c r="Z50" s="19"/>
      <c r="AA50" s="13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13"/>
      <c r="AT50" s="405" t="s">
        <v>1186</v>
      </c>
      <c r="AU50" s="405"/>
      <c r="AV50" s="405"/>
      <c r="AW50" s="405"/>
      <c r="AX50" s="405"/>
      <c r="AY50" s="405"/>
      <c r="AZ50" s="405"/>
      <c r="BA50" s="405"/>
      <c r="BB50" s="271" t="s">
        <v>1187</v>
      </c>
      <c r="BC50" s="271"/>
      <c r="BD50" s="271"/>
      <c r="BE50" s="271"/>
      <c r="BF50" s="271"/>
      <c r="BG50" s="271"/>
      <c r="BH50" s="271"/>
      <c r="BI50" s="271"/>
      <c r="BJ50" s="271"/>
      <c r="BK50" s="271"/>
      <c r="BL50" s="271"/>
      <c r="BM50" s="271"/>
      <c r="BN50" s="271"/>
      <c r="BO50" s="271"/>
      <c r="BP50" s="13"/>
      <c r="BQ50" s="29"/>
      <c r="BR50" s="13"/>
    </row>
    <row r="51" spans="1:70" ht="7.5" customHeight="1">
      <c r="A51" s="19"/>
      <c r="B51" s="408"/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228"/>
      <c r="P51" s="228"/>
      <c r="Q51" s="439"/>
      <c r="R51" s="4"/>
      <c r="S51" s="471"/>
      <c r="T51" s="471"/>
      <c r="U51" s="471"/>
      <c r="V51" s="227"/>
      <c r="W51" s="227"/>
      <c r="X51" s="227"/>
      <c r="Y51" s="37"/>
      <c r="Z51" s="19"/>
      <c r="AA51" s="4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13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13"/>
      <c r="BQ51" s="29"/>
      <c r="BR51" s="13"/>
    </row>
    <row r="52" spans="1:70" ht="7.5" customHeight="1">
      <c r="A52" s="16"/>
      <c r="B52" s="408" t="s">
        <v>262</v>
      </c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228">
        <f>SUM(S52:X53)</f>
        <v>1</v>
      </c>
      <c r="P52" s="228"/>
      <c r="Q52" s="439"/>
      <c r="R52" s="4"/>
      <c r="S52" s="471">
        <f>IF(K26="","",SUM(VLOOKUP(D26,Таблицы!E12:F26,2,FALSE)+IF(Таблицы!F1=5,5,0),IF(OR(Таблицы!F84=8,Таблицы!F85=8),Таблицы!L45,0),IF(OR(Таблицы!F84=24,Таблицы!F85=24),Таблицы!L60,0)))</f>
        <v>1</v>
      </c>
      <c r="T52" s="471"/>
      <c r="U52" s="471"/>
      <c r="V52" s="227"/>
      <c r="W52" s="227"/>
      <c r="X52" s="227"/>
      <c r="Y52" s="37"/>
      <c r="Z52" s="3"/>
      <c r="AA52" s="4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13"/>
      <c r="AT52" s="272" t="s">
        <v>1190</v>
      </c>
      <c r="AU52" s="272"/>
      <c r="AV52" s="272"/>
      <c r="AW52" s="272"/>
      <c r="AX52" s="272"/>
      <c r="AY52" s="272"/>
      <c r="AZ52" s="272"/>
      <c r="BA52" s="272"/>
      <c r="BB52" s="272" t="s">
        <v>1191</v>
      </c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13"/>
      <c r="BQ52" s="29"/>
      <c r="BR52" s="13"/>
    </row>
    <row r="53" spans="1:70" ht="7.5" customHeight="1">
      <c r="A53" s="19"/>
      <c r="B53" s="40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228"/>
      <c r="P53" s="228"/>
      <c r="Q53" s="439"/>
      <c r="R53" s="13"/>
      <c r="S53" s="471"/>
      <c r="T53" s="471"/>
      <c r="U53" s="471"/>
      <c r="V53" s="227"/>
      <c r="W53" s="227"/>
      <c r="X53" s="227"/>
      <c r="Y53" s="29"/>
      <c r="Z53" s="19"/>
      <c r="AA53" s="13"/>
      <c r="AH53" s="406" t="str">
        <f>INDEX(Таблицы!P35:W63,Таблицы!F84,Таблицы!F1)</f>
        <v> </v>
      </c>
      <c r="AI53" s="406"/>
      <c r="AJ53" s="406"/>
      <c r="AK53" s="406"/>
      <c r="AL53" s="406"/>
      <c r="AM53" s="406"/>
      <c r="AN53" s="406"/>
      <c r="AO53" s="406"/>
      <c r="AP53" s="406"/>
      <c r="AQ53" s="406"/>
      <c r="AR53" s="406"/>
      <c r="AS53" s="13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13"/>
      <c r="BQ53" s="29"/>
      <c r="BR53" s="13"/>
    </row>
    <row r="54" spans="1:70" ht="7.5" customHeight="1">
      <c r="A54" s="16"/>
      <c r="B54" s="408" t="s">
        <v>263</v>
      </c>
      <c r="C54" s="398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497">
        <f>SUM(S54:X55)</f>
        <v>0.05</v>
      </c>
      <c r="P54" s="497"/>
      <c r="Q54" s="498"/>
      <c r="R54" s="4"/>
      <c r="S54" s="482">
        <f>IF(OR(Таблицы!F84=6,Таблицы!F85=6),SUM(D38/100,Таблицы!L42),D38/100)</f>
        <v>0.05</v>
      </c>
      <c r="T54" s="482"/>
      <c r="U54" s="482"/>
      <c r="V54" s="495"/>
      <c r="W54" s="495"/>
      <c r="X54" s="495"/>
      <c r="Y54" s="37"/>
      <c r="Z54" s="19"/>
      <c r="AA54" s="4"/>
      <c r="AH54" s="406"/>
      <c r="AI54" s="406"/>
      <c r="AJ54" s="406"/>
      <c r="AK54" s="406"/>
      <c r="AL54" s="406"/>
      <c r="AM54" s="406"/>
      <c r="AN54" s="406"/>
      <c r="AO54" s="406"/>
      <c r="AP54" s="406"/>
      <c r="AQ54" s="406"/>
      <c r="AR54" s="406"/>
      <c r="AS54" s="13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13"/>
      <c r="BQ54" s="29"/>
      <c r="BR54" s="13"/>
    </row>
    <row r="55" spans="1:70" ht="7.5" customHeight="1">
      <c r="A55" s="19"/>
      <c r="B55" s="40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497"/>
      <c r="P55" s="497"/>
      <c r="Q55" s="498"/>
      <c r="R55" s="4"/>
      <c r="S55" s="482"/>
      <c r="T55" s="482"/>
      <c r="U55" s="482"/>
      <c r="V55" s="495"/>
      <c r="W55" s="495"/>
      <c r="X55" s="495"/>
      <c r="Y55" s="37"/>
      <c r="Z55" s="3"/>
      <c r="AA55" s="4"/>
      <c r="AH55" s="406"/>
      <c r="AI55" s="406"/>
      <c r="AJ55" s="406"/>
      <c r="AK55" s="406"/>
      <c r="AL55" s="406"/>
      <c r="AM55" s="406"/>
      <c r="AN55" s="406"/>
      <c r="AO55" s="406"/>
      <c r="AP55" s="406"/>
      <c r="AQ55" s="406"/>
      <c r="AR55" s="406"/>
      <c r="AS55" s="13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13"/>
      <c r="BQ55" s="29"/>
      <c r="BR55" s="13"/>
    </row>
    <row r="56" spans="1:70" ht="7.5" customHeight="1">
      <c r="A56" s="16"/>
      <c r="B56" s="408" t="s">
        <v>264</v>
      </c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228">
        <f>SUM(S56:X57)</f>
        <v>1</v>
      </c>
      <c r="P56" s="228"/>
      <c r="Q56" s="439"/>
      <c r="R56" s="13"/>
      <c r="S56" s="471">
        <f>IF(D30=0,"",SUM(VLOOKUP(D30,Таблицы!H12:I25,2,FALSE),IF(OR(Таблицы!F84=2,Таблицы!F85=2),2,0)))</f>
        <v>1</v>
      </c>
      <c r="T56" s="471"/>
      <c r="U56" s="471"/>
      <c r="V56" s="227"/>
      <c r="W56" s="227"/>
      <c r="X56" s="227"/>
      <c r="Y56" s="29"/>
      <c r="Z56" s="19"/>
      <c r="AA56" s="13"/>
      <c r="AH56" s="406"/>
      <c r="AI56" s="406"/>
      <c r="AJ56" s="406"/>
      <c r="AK56" s="406"/>
      <c r="AL56" s="406"/>
      <c r="AM56" s="406"/>
      <c r="AN56" s="406"/>
      <c r="AO56" s="406"/>
      <c r="AP56" s="406"/>
      <c r="AQ56" s="406"/>
      <c r="AR56" s="406"/>
      <c r="AS56" s="13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13"/>
      <c r="BQ56" s="29"/>
      <c r="BR56" s="13"/>
    </row>
    <row r="57" spans="1:70" ht="7.5" customHeight="1">
      <c r="A57" s="19"/>
      <c r="B57" s="408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228"/>
      <c r="P57" s="228"/>
      <c r="Q57" s="439"/>
      <c r="R57" s="4"/>
      <c r="S57" s="471"/>
      <c r="T57" s="471"/>
      <c r="U57" s="471"/>
      <c r="V57" s="227"/>
      <c r="W57" s="227"/>
      <c r="X57" s="227"/>
      <c r="Y57" s="37"/>
      <c r="Z57" s="19"/>
      <c r="AA57" s="4"/>
      <c r="AH57" s="406"/>
      <c r="AI57" s="406"/>
      <c r="AJ57" s="406"/>
      <c r="AK57" s="406"/>
      <c r="AL57" s="406"/>
      <c r="AM57" s="406"/>
      <c r="AN57" s="406"/>
      <c r="AO57" s="406"/>
      <c r="AP57" s="406"/>
      <c r="AQ57" s="406"/>
      <c r="AR57" s="406"/>
      <c r="AS57" s="13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13"/>
      <c r="BQ57" s="29"/>
      <c r="BR57" s="13"/>
    </row>
    <row r="58" spans="1:70" ht="7.5" customHeight="1">
      <c r="A58" s="16"/>
      <c r="B58" s="408" t="s">
        <v>265</v>
      </c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497">
        <f>SUM(S58:X59)</f>
        <v>0.25</v>
      </c>
      <c r="P58" s="497"/>
      <c r="Q58" s="498"/>
      <c r="R58" s="4"/>
      <c r="S58" s="482">
        <f>IF(D30=0,"",SUM(IF(OR(Таблицы!F84=2,Таблицы!F85=2),INDEX(Таблицы!F2:S10,Таблицы!F1,11),IF(((5*D30)/100)+INDEX(Таблицы!F2:S10,Таблицы!F1,11)&gt;1,1,((5*D30)/100)+INDEX(Таблицы!F2:S10,Таблицы!F1,11)))))</f>
        <v>0.25</v>
      </c>
      <c r="T58" s="482"/>
      <c r="U58" s="482"/>
      <c r="V58" s="495"/>
      <c r="W58" s="495"/>
      <c r="X58" s="495"/>
      <c r="Y58" s="37"/>
      <c r="Z58" s="3"/>
      <c r="AA58" s="4"/>
      <c r="AH58" s="406"/>
      <c r="AI58" s="406"/>
      <c r="AJ58" s="406"/>
      <c r="AK58" s="406"/>
      <c r="AL58" s="406"/>
      <c r="AM58" s="406"/>
      <c r="AN58" s="406"/>
      <c r="AO58" s="406"/>
      <c r="AP58" s="406"/>
      <c r="AQ58" s="406"/>
      <c r="AR58" s="406"/>
      <c r="AS58" s="13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13"/>
      <c r="BQ58" s="29"/>
      <c r="BR58" s="13"/>
    </row>
    <row r="59" spans="1:70" ht="7.5" customHeight="1">
      <c r="A59" s="19"/>
      <c r="B59" s="40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497"/>
      <c r="P59" s="497"/>
      <c r="Q59" s="498"/>
      <c r="R59" s="13"/>
      <c r="S59" s="482"/>
      <c r="T59" s="482"/>
      <c r="U59" s="482"/>
      <c r="V59" s="495"/>
      <c r="W59" s="495"/>
      <c r="X59" s="495"/>
      <c r="Y59" s="29"/>
      <c r="Z59" s="19"/>
      <c r="AA59" s="13"/>
      <c r="AH59" s="407"/>
      <c r="AI59" s="407"/>
      <c r="AJ59" s="407"/>
      <c r="AK59" s="407"/>
      <c r="AL59" s="407"/>
      <c r="AM59" s="407"/>
      <c r="AN59" s="407"/>
      <c r="AO59" s="407"/>
      <c r="AP59" s="407"/>
      <c r="AQ59" s="407"/>
      <c r="AR59" s="407"/>
      <c r="AS59" s="13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13"/>
      <c r="BQ59" s="29"/>
      <c r="BR59" s="13"/>
    </row>
    <row r="60" spans="1:70" ht="7.5" customHeight="1">
      <c r="A60" s="16"/>
      <c r="B60" s="408" t="s">
        <v>266</v>
      </c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497">
        <f>SUM(S60:X61)</f>
        <v>0.1</v>
      </c>
      <c r="P60" s="497"/>
      <c r="Q60" s="498"/>
      <c r="R60" s="4"/>
      <c r="S60" s="482">
        <f>IF(OR(Таблицы!F84=19,Таблицы!F85=19),SUM(Таблицы!L56,IF(D30=0,"",IF(OR(Таблицы!F84=2,Таблицы!F85=2),INDEX(Таблицы!F2:S10,Таблицы!F1,12),IF(((2*D30)/100)+INDEX(Таблицы!F2:S10,Таблицы!F1,12)&gt;1,1,((2*D30)/100)+INDEX(Таблицы!F2:S10,Таблицы!F1,12))))),IF(D30=0,"",IF(OR(Таблицы!F84=2,Таблицы!F85=2),INDEX(Таблицы!F2:S10,Таблицы!F1,12),IF(((2*D30)/100)+INDEX(Таблицы!F2:S10,Таблицы!F1,12)&gt;1,1,((2*D30)/100)+INDEX(Таблицы!F2:S10,Таблицы!F1,12)))))</f>
        <v>0.1</v>
      </c>
      <c r="T60" s="482"/>
      <c r="U60" s="482"/>
      <c r="V60" s="495"/>
      <c r="W60" s="495"/>
      <c r="X60" s="495"/>
      <c r="Y60" s="37"/>
      <c r="Z60" s="19"/>
      <c r="AA60" s="4"/>
      <c r="AH60" s="407"/>
      <c r="AI60" s="407"/>
      <c r="AJ60" s="407"/>
      <c r="AK60" s="407"/>
      <c r="AL60" s="407"/>
      <c r="AM60" s="407"/>
      <c r="AN60" s="407"/>
      <c r="AO60" s="407"/>
      <c r="AP60" s="407"/>
      <c r="AQ60" s="407"/>
      <c r="AR60" s="407"/>
      <c r="AS60" s="13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13"/>
      <c r="BQ60" s="29"/>
      <c r="BR60" s="13"/>
    </row>
    <row r="61" spans="1:70" ht="7.5" customHeight="1">
      <c r="A61" s="19"/>
      <c r="B61" s="408"/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497"/>
      <c r="P61" s="497"/>
      <c r="Q61" s="498"/>
      <c r="R61" s="4"/>
      <c r="S61" s="482"/>
      <c r="T61" s="482"/>
      <c r="U61" s="482"/>
      <c r="V61" s="495"/>
      <c r="W61" s="495"/>
      <c r="X61" s="495"/>
      <c r="Y61" s="37"/>
      <c r="Z61" s="3"/>
      <c r="AA61" s="4"/>
      <c r="AH61" s="407"/>
      <c r="AI61" s="407"/>
      <c r="AJ61" s="407"/>
      <c r="AK61" s="407"/>
      <c r="AL61" s="407"/>
      <c r="AM61" s="407"/>
      <c r="AN61" s="407"/>
      <c r="AO61" s="407"/>
      <c r="AP61" s="407"/>
      <c r="AQ61" s="407"/>
      <c r="AR61" s="407"/>
      <c r="AS61" s="13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13"/>
      <c r="BQ61" s="29"/>
      <c r="BR61" s="13"/>
    </row>
    <row r="62" spans="1:70" ht="7.5" customHeight="1">
      <c r="A62" s="16"/>
      <c r="B62" s="408" t="s">
        <v>267</v>
      </c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54" t="str">
        <f>IF(S62="ИММУНИТЕТ","100/100",IF(V62="",S62,CONCATENATE(SUM(LEFT(S62,2)*1,LEFT(V62,2)*1),"/",SUM(RIGHT(S62,2)*1,RIGHT(V62,2)*1))))</f>
        <v>00/00</v>
      </c>
      <c r="P62" s="355"/>
      <c r="Q62" s="493"/>
      <c r="R62" s="13"/>
      <c r="S62" s="471" t="str">
        <f>IF(D28=0,"",INDEX(Таблицы!F2:N10,Таблицы!F1,9))</f>
        <v>00/00</v>
      </c>
      <c r="T62" s="471"/>
      <c r="U62" s="471"/>
      <c r="V62" s="496"/>
      <c r="W62" s="496"/>
      <c r="X62" s="496"/>
      <c r="Y62" s="29"/>
      <c r="Z62" s="19"/>
      <c r="AA62" s="13"/>
      <c r="AH62" s="406" t="str">
        <f>INDEX(Таблицы!P35:W63,Таблицы!F85,Таблицы!F1)</f>
        <v> </v>
      </c>
      <c r="AI62" s="406"/>
      <c r="AJ62" s="406"/>
      <c r="AK62" s="406"/>
      <c r="AL62" s="406"/>
      <c r="AM62" s="406"/>
      <c r="AN62" s="406"/>
      <c r="AO62" s="406"/>
      <c r="AP62" s="406"/>
      <c r="AQ62" s="406"/>
      <c r="AR62" s="406"/>
      <c r="AS62" s="13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13"/>
      <c r="BQ62" s="29"/>
      <c r="BR62" s="13"/>
    </row>
    <row r="63" spans="1:70" ht="7.5" customHeight="1">
      <c r="A63" s="19"/>
      <c r="B63" s="408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57"/>
      <c r="P63" s="358"/>
      <c r="Q63" s="494"/>
      <c r="R63" s="4"/>
      <c r="S63" s="471"/>
      <c r="T63" s="471"/>
      <c r="U63" s="471"/>
      <c r="V63" s="496"/>
      <c r="W63" s="496"/>
      <c r="X63" s="496"/>
      <c r="Y63" s="37"/>
      <c r="Z63" s="19"/>
      <c r="AA63" s="4"/>
      <c r="AH63" s="406"/>
      <c r="AI63" s="406"/>
      <c r="AJ63" s="406"/>
      <c r="AK63" s="406"/>
      <c r="AL63" s="406"/>
      <c r="AM63" s="406"/>
      <c r="AN63" s="406"/>
      <c r="AO63" s="406"/>
      <c r="AP63" s="406"/>
      <c r="AQ63" s="406"/>
      <c r="AR63" s="406"/>
      <c r="AS63" s="13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2"/>
      <c r="BP63" s="13"/>
      <c r="BQ63" s="29"/>
      <c r="BR63" s="13"/>
    </row>
    <row r="64" spans="1:70" ht="7.5" customHeight="1">
      <c r="A64" s="16"/>
      <c r="B64" s="408" t="s">
        <v>268</v>
      </c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497">
        <f>SUM(S64:X65)</f>
        <v>0.1</v>
      </c>
      <c r="P64" s="497"/>
      <c r="Q64" s="498"/>
      <c r="R64" s="4"/>
      <c r="S64" s="482">
        <f>IF(D26=0,"",INDEX(Таблицы!F2:M10,Таблицы!F1,8))</f>
        <v>0.1</v>
      </c>
      <c r="T64" s="482"/>
      <c r="U64" s="482"/>
      <c r="V64" s="495"/>
      <c r="W64" s="495"/>
      <c r="X64" s="495"/>
      <c r="Y64" s="37"/>
      <c r="Z64" s="3"/>
      <c r="AA64" s="4"/>
      <c r="AH64" s="406"/>
      <c r="AI64" s="406"/>
      <c r="AJ64" s="406"/>
      <c r="AK64" s="406"/>
      <c r="AL64" s="406"/>
      <c r="AM64" s="406"/>
      <c r="AN64" s="406"/>
      <c r="AO64" s="406"/>
      <c r="AP64" s="406"/>
      <c r="AQ64" s="406"/>
      <c r="AR64" s="406"/>
      <c r="AS64" s="13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13"/>
      <c r="BQ64" s="29"/>
      <c r="BR64" s="13"/>
    </row>
    <row r="65" spans="1:70" ht="7.5" customHeight="1">
      <c r="A65" s="19"/>
      <c r="B65" s="40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497"/>
      <c r="P65" s="497"/>
      <c r="Q65" s="498"/>
      <c r="R65" s="13"/>
      <c r="S65" s="482"/>
      <c r="T65" s="482"/>
      <c r="U65" s="482"/>
      <c r="V65" s="495"/>
      <c r="W65" s="495"/>
      <c r="X65" s="495"/>
      <c r="Y65" s="29"/>
      <c r="Z65" s="19"/>
      <c r="AA65" s="13"/>
      <c r="AH65" s="406"/>
      <c r="AI65" s="406"/>
      <c r="AJ65" s="406"/>
      <c r="AK65" s="406"/>
      <c r="AL65" s="406"/>
      <c r="AM65" s="406"/>
      <c r="AN65" s="406"/>
      <c r="AO65" s="406"/>
      <c r="AP65" s="406"/>
      <c r="AQ65" s="406"/>
      <c r="AR65" s="406"/>
      <c r="AS65" s="13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13"/>
      <c r="BQ65" s="29"/>
      <c r="BR65" s="13"/>
    </row>
    <row r="66" spans="1:70" ht="7.5" customHeight="1">
      <c r="A66" s="20"/>
      <c r="B66" s="408" t="s">
        <v>269</v>
      </c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228">
        <f>SUM(S66:X67)</f>
        <v>5</v>
      </c>
      <c r="P66" s="228"/>
      <c r="Q66" s="439"/>
      <c r="R66" s="4"/>
      <c r="S66" s="471">
        <f>IF(OR(Таблицы!F84=22,Таблицы!F85=22),SUM(IF(OR(Таблицы!F84=7,Таблицы!F85=7),Таблицы!L43,D36),Таблицы!L58),IF(OR(Таблицы!F84=7,Таблицы!F85=7),Таблицы!L43,D36))</f>
        <v>5</v>
      </c>
      <c r="T66" s="471"/>
      <c r="U66" s="471"/>
      <c r="V66" s="227"/>
      <c r="W66" s="227"/>
      <c r="X66" s="227"/>
      <c r="Y66" s="37"/>
      <c r="Z66" s="19"/>
      <c r="AA66" s="4"/>
      <c r="AH66" s="406"/>
      <c r="AI66" s="406"/>
      <c r="AJ66" s="406"/>
      <c r="AK66" s="406"/>
      <c r="AL66" s="406"/>
      <c r="AM66" s="406"/>
      <c r="AN66" s="406"/>
      <c r="AO66" s="406"/>
      <c r="AP66" s="406"/>
      <c r="AQ66" s="406"/>
      <c r="AR66" s="406"/>
      <c r="AS66" s="13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13"/>
      <c r="BQ66" s="29"/>
      <c r="BR66" s="13"/>
    </row>
    <row r="67" spans="1:75" ht="7.5" customHeight="1" thickBot="1">
      <c r="A67" s="20"/>
      <c r="B67" s="337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440"/>
      <c r="P67" s="440"/>
      <c r="Q67" s="441"/>
      <c r="R67" s="4"/>
      <c r="S67" s="471"/>
      <c r="T67" s="471"/>
      <c r="U67" s="471"/>
      <c r="V67" s="227"/>
      <c r="W67" s="227"/>
      <c r="X67" s="227"/>
      <c r="Y67" s="37"/>
      <c r="Z67" s="3"/>
      <c r="AA67" s="4"/>
      <c r="AH67" s="406"/>
      <c r="AI67" s="406"/>
      <c r="AJ67" s="406"/>
      <c r="AK67" s="406"/>
      <c r="AL67" s="406"/>
      <c r="AM67" s="406"/>
      <c r="AN67" s="406"/>
      <c r="AO67" s="406"/>
      <c r="AP67" s="406"/>
      <c r="AQ67" s="406"/>
      <c r="AR67" s="406"/>
      <c r="AS67" s="13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13"/>
      <c r="BQ67" s="29"/>
      <c r="BR67" s="13"/>
      <c r="BS67" s="13"/>
      <c r="BT67" s="13"/>
      <c r="BU67" s="13"/>
      <c r="BV67" s="13"/>
      <c r="BW67" s="25"/>
    </row>
    <row r="68" spans="1:75" ht="7.5" customHeight="1" thickBot="1">
      <c r="A68" s="18"/>
      <c r="B68" s="6"/>
      <c r="C68" s="6"/>
      <c r="D68" s="6"/>
      <c r="E68" s="6"/>
      <c r="F68" s="38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3"/>
      <c r="Z68" s="32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43"/>
      <c r="BC68" s="43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3"/>
      <c r="BR68" s="13"/>
      <c r="BS68" s="13"/>
      <c r="BT68" s="13"/>
      <c r="BU68" s="13"/>
      <c r="BV68" s="13"/>
      <c r="BW68" s="25"/>
    </row>
    <row r="69" spans="1:69" ht="7.5" customHeight="1" thickBot="1">
      <c r="A69" s="34"/>
      <c r="B69" s="12"/>
      <c r="C69" s="12"/>
      <c r="D69" s="12"/>
      <c r="E69" s="12"/>
      <c r="F69" s="27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72"/>
      <c r="AC69" s="74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28"/>
    </row>
    <row r="70" spans="1:69" ht="7.5" customHeight="1">
      <c r="A70" s="19"/>
      <c r="B70" s="198" t="s">
        <v>277</v>
      </c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200"/>
      <c r="AB70" s="55"/>
      <c r="AC70" s="50"/>
      <c r="AD70" s="198" t="s">
        <v>290</v>
      </c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200"/>
      <c r="BD70" s="13"/>
      <c r="BE70" s="288" t="s">
        <v>325</v>
      </c>
      <c r="BF70" s="289"/>
      <c r="BG70" s="289"/>
      <c r="BH70" s="290"/>
      <c r="BI70" s="280" t="s">
        <v>307</v>
      </c>
      <c r="BJ70" s="280"/>
      <c r="BK70" s="280"/>
      <c r="BL70" s="280"/>
      <c r="BM70" s="280"/>
      <c r="BN70" s="280"/>
      <c r="BO70" s="280"/>
      <c r="BP70" s="281"/>
      <c r="BQ70" s="29"/>
    </row>
    <row r="71" spans="1:69" ht="7.5" customHeight="1" thickBot="1">
      <c r="A71" s="19"/>
      <c r="B71" s="201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3"/>
      <c r="AB71" s="55"/>
      <c r="AC71" s="50"/>
      <c r="AD71" s="201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3"/>
      <c r="BD71" s="13"/>
      <c r="BE71" s="291"/>
      <c r="BF71" s="292"/>
      <c r="BG71" s="292"/>
      <c r="BH71" s="293"/>
      <c r="BI71" s="282"/>
      <c r="BJ71" s="282"/>
      <c r="BK71" s="282"/>
      <c r="BL71" s="282"/>
      <c r="BM71" s="282"/>
      <c r="BN71" s="282"/>
      <c r="BO71" s="282"/>
      <c r="BP71" s="283"/>
      <c r="BQ71" s="29"/>
    </row>
    <row r="72" spans="1:69" ht="7.5" customHeight="1" thickBot="1">
      <c r="A72" s="19"/>
      <c r="B72" s="244" t="s">
        <v>292</v>
      </c>
      <c r="C72" s="245"/>
      <c r="D72" s="245"/>
      <c r="E72" s="246"/>
      <c r="F72" s="399"/>
      <c r="G72" s="400"/>
      <c r="H72" s="400"/>
      <c r="I72" s="400"/>
      <c r="J72" s="400"/>
      <c r="K72" s="400"/>
      <c r="L72" s="400"/>
      <c r="M72" s="400"/>
      <c r="N72" s="400"/>
      <c r="O72" s="400"/>
      <c r="P72" s="400"/>
      <c r="Q72" s="401"/>
      <c r="R72" s="212" t="s">
        <v>929</v>
      </c>
      <c r="S72" s="213"/>
      <c r="T72" s="225">
        <f>IF(INDEX(Таблицы!AA20:AA242,Таблицы!Y23,1)="","",INDEX(Таблицы!AA20:AA242,Таблицы!Y23,1))</f>
      </c>
      <c r="U72" s="225"/>
      <c r="V72" s="218" t="s">
        <v>942</v>
      </c>
      <c r="W72" s="219"/>
      <c r="X72" s="219"/>
      <c r="Y72" s="219"/>
      <c r="Z72" s="222" t="s">
        <v>943</v>
      </c>
      <c r="AA72" s="55"/>
      <c r="AB72" s="55"/>
      <c r="AC72" s="50"/>
      <c r="AD72" s="244" t="s">
        <v>292</v>
      </c>
      <c r="AE72" s="245"/>
      <c r="AF72" s="245"/>
      <c r="AG72" s="246"/>
      <c r="AH72" s="399"/>
      <c r="AI72" s="400"/>
      <c r="AJ72" s="400"/>
      <c r="AK72" s="400"/>
      <c r="AL72" s="400"/>
      <c r="AM72" s="400"/>
      <c r="AN72" s="400"/>
      <c r="AO72" s="400"/>
      <c r="AP72" s="400"/>
      <c r="AQ72" s="400"/>
      <c r="AR72" s="400"/>
      <c r="AS72" s="401"/>
      <c r="AT72" s="212" t="s">
        <v>929</v>
      </c>
      <c r="AU72" s="213"/>
      <c r="AV72" s="225">
        <f>IF(INDEX(Таблицы!AA20:AA242,Таблицы!Y24,1)="","",INDEX(Таблицы!AA20:AA242,Таблицы!Y24,1))</f>
      </c>
      <c r="AW72" s="225"/>
      <c r="AX72" s="218" t="s">
        <v>942</v>
      </c>
      <c r="AY72" s="219"/>
      <c r="AZ72" s="219"/>
      <c r="BA72" s="219"/>
      <c r="BB72" s="222" t="s">
        <v>943</v>
      </c>
      <c r="BC72" s="55"/>
      <c r="BD72" s="13"/>
      <c r="BE72" s="294"/>
      <c r="BF72" s="295"/>
      <c r="BG72" s="295"/>
      <c r="BH72" s="296"/>
      <c r="BI72" s="284"/>
      <c r="BJ72" s="284"/>
      <c r="BK72" s="284"/>
      <c r="BL72" s="284"/>
      <c r="BM72" s="284"/>
      <c r="BN72" s="284"/>
      <c r="BO72" s="284"/>
      <c r="BP72" s="285"/>
      <c r="BQ72" s="29"/>
    </row>
    <row r="73" spans="1:69" ht="7.5" customHeight="1">
      <c r="A73" s="19"/>
      <c r="B73" s="244"/>
      <c r="C73" s="245"/>
      <c r="D73" s="245"/>
      <c r="E73" s="246"/>
      <c r="F73" s="396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3"/>
      <c r="R73" s="214"/>
      <c r="S73" s="215"/>
      <c r="T73" s="226"/>
      <c r="U73" s="226"/>
      <c r="V73" s="220"/>
      <c r="W73" s="221"/>
      <c r="X73" s="221"/>
      <c r="Y73" s="221"/>
      <c r="Z73" s="223"/>
      <c r="AA73" s="55"/>
      <c r="AB73" s="55"/>
      <c r="AC73" s="50"/>
      <c r="AD73" s="244"/>
      <c r="AE73" s="245"/>
      <c r="AF73" s="245"/>
      <c r="AG73" s="246"/>
      <c r="AH73" s="396"/>
      <c r="AI73" s="282"/>
      <c r="AJ73" s="282"/>
      <c r="AK73" s="282"/>
      <c r="AL73" s="282"/>
      <c r="AM73" s="282"/>
      <c r="AN73" s="282"/>
      <c r="AO73" s="282"/>
      <c r="AP73" s="282"/>
      <c r="AQ73" s="282"/>
      <c r="AR73" s="282"/>
      <c r="AS73" s="283"/>
      <c r="AT73" s="214"/>
      <c r="AU73" s="215"/>
      <c r="AV73" s="226"/>
      <c r="AW73" s="226"/>
      <c r="AX73" s="220"/>
      <c r="AY73" s="221"/>
      <c r="AZ73" s="221"/>
      <c r="BA73" s="221"/>
      <c r="BB73" s="223"/>
      <c r="BC73" s="55"/>
      <c r="BD73" s="13"/>
      <c r="BE73" s="286" t="s">
        <v>308</v>
      </c>
      <c r="BF73" s="286"/>
      <c r="BG73" s="287">
        <f>IF(INDEX(Таблицы!AA483:AA515,Таблицы!Y483,1)="","",INDEX(Таблицы!AA483:AA515,Таблицы!Y483,1))</f>
      </c>
      <c r="BH73" s="287"/>
      <c r="BI73" s="172" t="s">
        <v>309</v>
      </c>
      <c r="BJ73" s="172"/>
      <c r="BK73" s="228">
        <f>IF(INDEX(Таблицы!AB483:AB515,Таблицы!Y483,1)="","",INDEX(Таблицы!AB483:AB515,Таблицы!Y483,1))</f>
      </c>
      <c r="BL73" s="228"/>
      <c r="BM73" s="172" t="s">
        <v>310</v>
      </c>
      <c r="BN73" s="172"/>
      <c r="BO73" s="228">
        <f>IF(INDEX(Таблицы!AC483:AC515,Таблицы!Y483,1)="","",INDEX(Таблицы!AC483:AC515,Таблицы!Y483,1))</f>
      </c>
      <c r="BP73" s="228"/>
      <c r="BQ73" s="29"/>
    </row>
    <row r="74" spans="1:69" ht="7.5" customHeight="1">
      <c r="A74" s="19"/>
      <c r="B74" s="247"/>
      <c r="C74" s="248"/>
      <c r="D74" s="248"/>
      <c r="E74" s="249"/>
      <c r="F74" s="397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5"/>
      <c r="R74" s="216"/>
      <c r="S74" s="217"/>
      <c r="T74" s="226"/>
      <c r="U74" s="226"/>
      <c r="V74" s="50"/>
      <c r="W74" s="13"/>
      <c r="X74" s="13"/>
      <c r="Y74" s="13"/>
      <c r="Z74" s="13"/>
      <c r="AA74" s="55"/>
      <c r="AB74" s="55"/>
      <c r="AC74" s="50"/>
      <c r="AD74" s="247"/>
      <c r="AE74" s="248"/>
      <c r="AF74" s="248"/>
      <c r="AG74" s="249"/>
      <c r="AH74" s="397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5"/>
      <c r="AT74" s="216"/>
      <c r="AU74" s="217"/>
      <c r="AV74" s="226"/>
      <c r="AW74" s="226"/>
      <c r="AX74" s="50"/>
      <c r="AY74" s="13"/>
      <c r="AZ74" s="13"/>
      <c r="BA74" s="13"/>
      <c r="BB74" s="13"/>
      <c r="BC74" s="55"/>
      <c r="BD74" s="13"/>
      <c r="BE74" s="172"/>
      <c r="BF74" s="172"/>
      <c r="BG74" s="228"/>
      <c r="BH74" s="228"/>
      <c r="BI74" s="172"/>
      <c r="BJ74" s="172"/>
      <c r="BK74" s="228"/>
      <c r="BL74" s="228"/>
      <c r="BM74" s="172"/>
      <c r="BN74" s="172"/>
      <c r="BO74" s="228"/>
      <c r="BP74" s="228"/>
      <c r="BQ74" s="29"/>
    </row>
    <row r="75" spans="1:69" ht="7.5" customHeight="1">
      <c r="A75" s="19"/>
      <c r="B75" s="172" t="s">
        <v>278</v>
      </c>
      <c r="C75" s="170">
        <f>IF(INDEX(Таблицы!AB20:AB242,Таблицы!Y23,1)="","",INDEX(Таблицы!AB20:AB242,Таблицы!Y23,1))</f>
      </c>
      <c r="D75" s="171"/>
      <c r="E75" s="169"/>
      <c r="F75" s="172" t="s">
        <v>279</v>
      </c>
      <c r="G75" s="172"/>
      <c r="H75" s="163">
        <f>IF(INDEX(Таблицы!AC20:AC242,Таблицы!Y23,1)="","",INDEX(Таблицы!AC20:AC242,Таблицы!Y23,1))</f>
      </c>
      <c r="I75" s="164"/>
      <c r="J75" s="164"/>
      <c r="K75" s="164"/>
      <c r="L75" s="164"/>
      <c r="M75" s="164"/>
      <c r="N75" s="164"/>
      <c r="O75" s="165"/>
      <c r="P75" s="172" t="s">
        <v>280</v>
      </c>
      <c r="Q75" s="172"/>
      <c r="R75" s="354">
        <f>IF(INDEX(Таблицы!AD20:AD242,Таблицы!Y23,1)="","",INDEX(Таблицы!AD20:AD242,Таблицы!Y23,1))</f>
      </c>
      <c r="S75" s="355"/>
      <c r="T75" s="355"/>
      <c r="U75" s="356"/>
      <c r="V75" s="50"/>
      <c r="W75" s="13"/>
      <c r="X75" s="13"/>
      <c r="Y75" s="13"/>
      <c r="Z75" s="13"/>
      <c r="AA75" s="55"/>
      <c r="AB75" s="55"/>
      <c r="AC75" s="50"/>
      <c r="AD75" s="172" t="s">
        <v>278</v>
      </c>
      <c r="AE75" s="170">
        <f>IF(INDEX(Таблицы!AB20:AB242,Таблицы!Y24,1)="","",INDEX(Таблицы!AB20:AB242,Таблицы!Y24,1))</f>
      </c>
      <c r="AF75" s="171"/>
      <c r="AG75" s="169"/>
      <c r="AH75" s="172" t="s">
        <v>279</v>
      </c>
      <c r="AI75" s="172"/>
      <c r="AJ75" s="163">
        <f>IF(INDEX(Таблицы!AC20:AC242,Таблицы!Y24,1)="","",INDEX(Таблицы!AC20:AC242,Таблицы!Y24,1))</f>
      </c>
      <c r="AK75" s="164"/>
      <c r="AL75" s="164"/>
      <c r="AM75" s="164"/>
      <c r="AN75" s="164"/>
      <c r="AO75" s="164"/>
      <c r="AP75" s="164"/>
      <c r="AQ75" s="165"/>
      <c r="AR75" s="172" t="s">
        <v>280</v>
      </c>
      <c r="AS75" s="172"/>
      <c r="AT75" s="354">
        <f>IF(INDEX(Таблицы!AD20:AD242,Таблицы!Y24,1)="","",INDEX(Таблицы!AD20:AD242,Таблицы!Y24,1))</f>
      </c>
      <c r="AU75" s="355"/>
      <c r="AV75" s="355"/>
      <c r="AW75" s="356"/>
      <c r="AX75" s="50"/>
      <c r="AY75" s="13"/>
      <c r="AZ75" s="13"/>
      <c r="BA75" s="13"/>
      <c r="BB75" s="13"/>
      <c r="BC75" s="55"/>
      <c r="BD75" s="13"/>
      <c r="BE75" s="172" t="s">
        <v>311</v>
      </c>
      <c r="BF75" s="172"/>
      <c r="BG75" s="228">
        <f>IF(INDEX(Таблицы!AD483:AD515,Таблицы!Y483,1)="","",INDEX(Таблицы!AD483:AD515,Таблицы!Y483,1))</f>
      </c>
      <c r="BH75" s="228"/>
      <c r="BI75" s="172" t="s">
        <v>312</v>
      </c>
      <c r="BJ75" s="172"/>
      <c r="BK75" s="228">
        <f>IF(INDEX(Таблицы!AE483:AE515,Таблицы!Y483,1)="","",INDEX(Таблицы!AE483:AE515,Таблицы!Y483,1))</f>
      </c>
      <c r="BL75" s="228"/>
      <c r="BM75" s="172" t="s">
        <v>313</v>
      </c>
      <c r="BN75" s="172"/>
      <c r="BO75" s="228">
        <f>IF(INDEX(Таблицы!AF483:AF515,Таблицы!Y483,1)="","",INDEX(Таблицы!AF483:AF515,Таблицы!Y483,1))</f>
      </c>
      <c r="BP75" s="228"/>
      <c r="BQ75" s="29"/>
    </row>
    <row r="76" spans="1:69" ht="7.5" customHeight="1">
      <c r="A76" s="19"/>
      <c r="B76" s="172"/>
      <c r="C76" s="168"/>
      <c r="D76" s="166"/>
      <c r="E76" s="167"/>
      <c r="F76" s="172"/>
      <c r="G76" s="172"/>
      <c r="H76" s="162"/>
      <c r="I76" s="196"/>
      <c r="J76" s="196"/>
      <c r="K76" s="196"/>
      <c r="L76" s="196"/>
      <c r="M76" s="196"/>
      <c r="N76" s="196"/>
      <c r="O76" s="197"/>
      <c r="P76" s="172"/>
      <c r="Q76" s="172"/>
      <c r="R76" s="357"/>
      <c r="S76" s="358"/>
      <c r="T76" s="358"/>
      <c r="U76" s="359"/>
      <c r="V76" s="360" t="s">
        <v>100</v>
      </c>
      <c r="W76" s="361"/>
      <c r="X76" s="224">
        <v>1</v>
      </c>
      <c r="Y76" s="224"/>
      <c r="Z76" s="224">
        <v>2</v>
      </c>
      <c r="AA76" s="224"/>
      <c r="AB76" s="55"/>
      <c r="AC76" s="50"/>
      <c r="AD76" s="172"/>
      <c r="AE76" s="168"/>
      <c r="AF76" s="166"/>
      <c r="AG76" s="167"/>
      <c r="AH76" s="172"/>
      <c r="AI76" s="172"/>
      <c r="AJ76" s="162"/>
      <c r="AK76" s="196"/>
      <c r="AL76" s="196"/>
      <c r="AM76" s="196"/>
      <c r="AN76" s="196"/>
      <c r="AO76" s="196"/>
      <c r="AP76" s="196"/>
      <c r="AQ76" s="197"/>
      <c r="AR76" s="172"/>
      <c r="AS76" s="172"/>
      <c r="AT76" s="357"/>
      <c r="AU76" s="358"/>
      <c r="AV76" s="358"/>
      <c r="AW76" s="359"/>
      <c r="AX76" s="360" t="s">
        <v>100</v>
      </c>
      <c r="AY76" s="361"/>
      <c r="AZ76" s="224">
        <v>1</v>
      </c>
      <c r="BA76" s="224"/>
      <c r="BB76" s="224">
        <v>2</v>
      </c>
      <c r="BC76" s="224"/>
      <c r="BD76" s="13"/>
      <c r="BE76" s="172"/>
      <c r="BF76" s="172"/>
      <c r="BG76" s="228"/>
      <c r="BH76" s="228"/>
      <c r="BI76" s="172"/>
      <c r="BJ76" s="172"/>
      <c r="BK76" s="228"/>
      <c r="BL76" s="228"/>
      <c r="BM76" s="172"/>
      <c r="BN76" s="172"/>
      <c r="BO76" s="228"/>
      <c r="BP76" s="228"/>
      <c r="BQ76" s="29"/>
    </row>
    <row r="77" spans="1:69" ht="7.5" customHeight="1">
      <c r="A77" s="19"/>
      <c r="B77" s="172" t="s">
        <v>281</v>
      </c>
      <c r="C77" s="172"/>
      <c r="D77" s="172" t="s">
        <v>282</v>
      </c>
      <c r="E77" s="228">
        <f>IF(INDEX(Таблицы!AE20:AE242,Таблицы!Y23,1)="","",INDEX(Таблицы!AE20:AE242,Таблицы!Y23,1))</f>
      </c>
      <c r="F77" s="228"/>
      <c r="G77" s="172" t="s">
        <v>283</v>
      </c>
      <c r="H77" s="228">
        <f>IF(INDEX(Таблицы!AF20:AF242,Таблицы!Y23,1)="","",INDEX(Таблицы!AF20:AF242,Таблицы!Y23,1))</f>
      </c>
      <c r="I77" s="228"/>
      <c r="J77" s="172" t="s">
        <v>284</v>
      </c>
      <c r="K77" s="228">
        <f>IF(INDEX(Таблицы!AG20:AG242,Таблицы!Y23,1)="","",INDEX(Таблицы!AG20:AG242,Таблицы!Y23,1))</f>
      </c>
      <c r="L77" s="228"/>
      <c r="M77" s="172" t="s">
        <v>99</v>
      </c>
      <c r="N77" s="172"/>
      <c r="O77" s="172"/>
      <c r="P77" s="172"/>
      <c r="Q77" s="172"/>
      <c r="R77" s="172"/>
      <c r="S77" s="172"/>
      <c r="T77" s="228">
        <f>IF(INDEX(Таблицы!AH20:AH242,Таблицы!Y23,1)="","",INDEX(Таблицы!AH20:AH242,Таблицы!Y23,1))</f>
      </c>
      <c r="U77" s="228"/>
      <c r="V77" s="360"/>
      <c r="W77" s="361"/>
      <c r="X77" s="224"/>
      <c r="Y77" s="224"/>
      <c r="Z77" s="224"/>
      <c r="AA77" s="224"/>
      <c r="AB77" s="55"/>
      <c r="AC77" s="50"/>
      <c r="AD77" s="172" t="s">
        <v>281</v>
      </c>
      <c r="AE77" s="172"/>
      <c r="AF77" s="172" t="s">
        <v>282</v>
      </c>
      <c r="AG77" s="228">
        <f>IF(INDEX(Таблицы!AE20:AE242,Таблицы!Y24,1)="","",INDEX(Таблицы!AE20:AE242,Таблицы!Y24,1))</f>
      </c>
      <c r="AH77" s="228"/>
      <c r="AI77" s="172" t="s">
        <v>283</v>
      </c>
      <c r="AJ77" s="228">
        <f>IF(INDEX(Таблицы!AF20:AF242,Таблицы!Y24,1)="","",INDEX(Таблицы!AF20:AF242,Таблицы!Y24,1))</f>
      </c>
      <c r="AK77" s="228"/>
      <c r="AL77" s="172" t="s">
        <v>284</v>
      </c>
      <c r="AM77" s="228">
        <f>IF(INDEX(Таблицы!AG20:AG242,Таблицы!Y24,1)="","",INDEX(Таблицы!AG20:AG242,Таблицы!Y24,1))</f>
      </c>
      <c r="AN77" s="228"/>
      <c r="AO77" s="172" t="s">
        <v>99</v>
      </c>
      <c r="AP77" s="172"/>
      <c r="AQ77" s="172"/>
      <c r="AR77" s="172"/>
      <c r="AS77" s="172"/>
      <c r="AT77" s="172"/>
      <c r="AU77" s="172"/>
      <c r="AV77" s="228">
        <f>IF(INDEX(Таблицы!AH20:AH242,Таблицы!Y24,1)="","",INDEX(Таблицы!AH20:AH242,Таблицы!Y24,1))</f>
      </c>
      <c r="AW77" s="228"/>
      <c r="AX77" s="360"/>
      <c r="AY77" s="361"/>
      <c r="AZ77" s="224"/>
      <c r="BA77" s="224"/>
      <c r="BB77" s="224"/>
      <c r="BC77" s="224"/>
      <c r="BD77" s="13"/>
      <c r="BE77" s="172" t="s">
        <v>314</v>
      </c>
      <c r="BF77" s="172"/>
      <c r="BG77" s="354">
        <f>IF(INDEX(Таблицы!AG483:AG515,Таблицы!Y483,1)="","",INDEX(Таблицы!AG483:AG515,Таблицы!Y483,1))</f>
      </c>
      <c r="BH77" s="355"/>
      <c r="BI77" s="355"/>
      <c r="BJ77" s="356"/>
      <c r="BK77" s="327" t="s">
        <v>323</v>
      </c>
      <c r="BL77" s="328"/>
      <c r="BM77" s="342"/>
      <c r="BN77" s="343"/>
      <c r="BO77" s="338">
        <f>IF(INDEX(Таблицы!AS483:AS515,Таблицы!Y483,1)="","",INDEX(Таблицы!AS483:AS515,Таблицы!Y483,1))</f>
      </c>
      <c r="BP77" s="339"/>
      <c r="BQ77" s="29"/>
    </row>
    <row r="78" spans="1:69" ht="7.5" customHeight="1">
      <c r="A78" s="19"/>
      <c r="B78" s="172"/>
      <c r="C78" s="172"/>
      <c r="D78" s="172"/>
      <c r="E78" s="228"/>
      <c r="F78" s="228"/>
      <c r="G78" s="172"/>
      <c r="H78" s="228"/>
      <c r="I78" s="228"/>
      <c r="J78" s="172"/>
      <c r="K78" s="228"/>
      <c r="L78" s="228"/>
      <c r="M78" s="172"/>
      <c r="N78" s="172"/>
      <c r="O78" s="172"/>
      <c r="P78" s="172"/>
      <c r="Q78" s="172"/>
      <c r="R78" s="172"/>
      <c r="S78" s="172"/>
      <c r="T78" s="228"/>
      <c r="U78" s="228"/>
      <c r="V78" s="360"/>
      <c r="W78" s="361"/>
      <c r="X78" s="224">
        <v>3</v>
      </c>
      <c r="Y78" s="224"/>
      <c r="Z78" s="224">
        <v>4</v>
      </c>
      <c r="AA78" s="224"/>
      <c r="AB78" s="55"/>
      <c r="AC78" s="50"/>
      <c r="AD78" s="172"/>
      <c r="AE78" s="172"/>
      <c r="AF78" s="172"/>
      <c r="AG78" s="228"/>
      <c r="AH78" s="228"/>
      <c r="AI78" s="172"/>
      <c r="AJ78" s="228"/>
      <c r="AK78" s="228"/>
      <c r="AL78" s="172"/>
      <c r="AM78" s="228"/>
      <c r="AN78" s="228"/>
      <c r="AO78" s="172"/>
      <c r="AP78" s="172"/>
      <c r="AQ78" s="172"/>
      <c r="AR78" s="172"/>
      <c r="AS78" s="172"/>
      <c r="AT78" s="172"/>
      <c r="AU78" s="172"/>
      <c r="AV78" s="228"/>
      <c r="AW78" s="228"/>
      <c r="AX78" s="360"/>
      <c r="AY78" s="361"/>
      <c r="AZ78" s="224">
        <v>3</v>
      </c>
      <c r="BA78" s="224"/>
      <c r="BB78" s="224">
        <v>4</v>
      </c>
      <c r="BC78" s="224"/>
      <c r="BD78" s="13"/>
      <c r="BE78" s="172"/>
      <c r="BF78" s="172"/>
      <c r="BG78" s="357"/>
      <c r="BH78" s="358"/>
      <c r="BI78" s="358"/>
      <c r="BJ78" s="359"/>
      <c r="BK78" s="329"/>
      <c r="BL78" s="330"/>
      <c r="BM78" s="344"/>
      <c r="BN78" s="345"/>
      <c r="BO78" s="340"/>
      <c r="BP78" s="341"/>
      <c r="BQ78" s="29"/>
    </row>
    <row r="79" spans="1:69" ht="7.5" customHeight="1">
      <c r="A79" s="19"/>
      <c r="B79" s="241" t="s">
        <v>930</v>
      </c>
      <c r="C79" s="242"/>
      <c r="D79" s="243"/>
      <c r="E79" s="242"/>
      <c r="F79" s="242"/>
      <c r="G79" s="242"/>
      <c r="H79" s="242"/>
      <c r="I79" s="242"/>
      <c r="J79" s="242"/>
      <c r="K79" s="242"/>
      <c r="L79" s="242"/>
      <c r="M79" s="243"/>
      <c r="N79" s="250" t="s">
        <v>298</v>
      </c>
      <c r="O79" s="251"/>
      <c r="P79" s="225">
        <f>IF(INDEX(Таблицы!AB245:AB323,Таблицы!Y247,1)="","",INDEX(Таблицы!AB245:AB323,Таблицы!Y247,1))</f>
      </c>
      <c r="Q79" s="225"/>
      <c r="R79" s="250" t="s">
        <v>831</v>
      </c>
      <c r="S79" s="251"/>
      <c r="T79" s="225">
        <f>IF(INDEX(Таблицы!AC245:AC323,Таблицы!Y247,1)="","",INDEX(Таблицы!AC245:AC323,Таблицы!Y247,1))</f>
      </c>
      <c r="U79" s="225"/>
      <c r="V79" s="360"/>
      <c r="W79" s="361"/>
      <c r="X79" s="224"/>
      <c r="Y79" s="224"/>
      <c r="Z79" s="224"/>
      <c r="AA79" s="224"/>
      <c r="AB79" s="55"/>
      <c r="AC79" s="50"/>
      <c r="AD79" s="241" t="s">
        <v>930</v>
      </c>
      <c r="AE79" s="242"/>
      <c r="AF79" s="243"/>
      <c r="AG79" s="242"/>
      <c r="AH79" s="242"/>
      <c r="AI79" s="242"/>
      <c r="AJ79" s="242"/>
      <c r="AK79" s="242"/>
      <c r="AL79" s="242"/>
      <c r="AM79" s="242"/>
      <c r="AN79" s="242"/>
      <c r="AO79" s="243"/>
      <c r="AP79" s="250" t="s">
        <v>298</v>
      </c>
      <c r="AQ79" s="251"/>
      <c r="AR79" s="225">
        <f>IF(INDEX(Таблицы!AB245:AB323,Таблицы!Y248,1)="","",INDEX(Таблицы!AB245:AB323,Таблицы!Y248,1))</f>
      </c>
      <c r="AS79" s="225"/>
      <c r="AT79" s="250" t="s">
        <v>831</v>
      </c>
      <c r="AU79" s="251"/>
      <c r="AV79" s="225">
        <f>IF(INDEX(Таблицы!AC245:AC323,Таблицы!Y248,1)="","",INDEX(Таблицы!AC245:AC323,Таблицы!Y248,1))</f>
      </c>
      <c r="AW79" s="225"/>
      <c r="AX79" s="360"/>
      <c r="AY79" s="361"/>
      <c r="AZ79" s="224"/>
      <c r="BA79" s="224"/>
      <c r="BB79" s="224"/>
      <c r="BC79" s="224"/>
      <c r="BD79" s="13"/>
      <c r="BE79" s="297" t="s">
        <v>223</v>
      </c>
      <c r="BF79" s="297"/>
      <c r="BG79" s="297"/>
      <c r="BH79" s="172" t="s">
        <v>282</v>
      </c>
      <c r="BI79" s="228">
        <f>IF(INDEX(Таблицы!AN483:AN515,Таблицы!Y483,1)="","",INDEX(Таблицы!AN483:AN515,Таблицы!Y483,1))</f>
      </c>
      <c r="BJ79" s="228"/>
      <c r="BK79" s="172" t="s">
        <v>322</v>
      </c>
      <c r="BL79" s="228">
        <f>IF(INDEX(Таблицы!AO483:AO515,Таблицы!Y483,1)="","",INDEX(Таблицы!AO483:AO515,Таблицы!Y483,1))</f>
      </c>
      <c r="BM79" s="228"/>
      <c r="BN79" s="172" t="s">
        <v>284</v>
      </c>
      <c r="BO79" s="228">
        <f>IF(INDEX(Таблицы!AP483:AP515,Таблицы!Y483,1)="","",INDEX(Таблицы!AP483:AP515,Таблицы!Y483,1))</f>
      </c>
      <c r="BP79" s="228"/>
      <c r="BQ79" s="29"/>
    </row>
    <row r="80" spans="1:69" ht="7.5" customHeight="1">
      <c r="A80" s="19"/>
      <c r="B80" s="244"/>
      <c r="C80" s="245"/>
      <c r="D80" s="246"/>
      <c r="E80" s="245"/>
      <c r="F80" s="245"/>
      <c r="G80" s="245"/>
      <c r="H80" s="245"/>
      <c r="I80" s="245"/>
      <c r="J80" s="245"/>
      <c r="K80" s="245"/>
      <c r="L80" s="245"/>
      <c r="M80" s="246"/>
      <c r="N80" s="214"/>
      <c r="O80" s="252"/>
      <c r="P80" s="226"/>
      <c r="Q80" s="226"/>
      <c r="R80" s="214"/>
      <c r="S80" s="252"/>
      <c r="T80" s="226"/>
      <c r="U80" s="226"/>
      <c r="V80" s="360"/>
      <c r="W80" s="361"/>
      <c r="X80" s="224">
        <v>5</v>
      </c>
      <c r="Y80" s="224"/>
      <c r="Z80" s="224">
        <v>6</v>
      </c>
      <c r="AA80" s="224"/>
      <c r="AB80" s="55"/>
      <c r="AC80" s="50"/>
      <c r="AD80" s="244"/>
      <c r="AE80" s="245"/>
      <c r="AF80" s="246"/>
      <c r="AG80" s="245"/>
      <c r="AH80" s="245"/>
      <c r="AI80" s="245"/>
      <c r="AJ80" s="245"/>
      <c r="AK80" s="245"/>
      <c r="AL80" s="245"/>
      <c r="AM80" s="245"/>
      <c r="AN80" s="245"/>
      <c r="AO80" s="246"/>
      <c r="AP80" s="214"/>
      <c r="AQ80" s="252"/>
      <c r="AR80" s="226"/>
      <c r="AS80" s="226"/>
      <c r="AT80" s="214"/>
      <c r="AU80" s="252"/>
      <c r="AV80" s="226"/>
      <c r="AW80" s="226"/>
      <c r="AX80" s="360"/>
      <c r="AY80" s="361"/>
      <c r="AZ80" s="224">
        <v>5</v>
      </c>
      <c r="BA80" s="224"/>
      <c r="BB80" s="224">
        <v>6</v>
      </c>
      <c r="BC80" s="224"/>
      <c r="BD80" s="13"/>
      <c r="BE80" s="297"/>
      <c r="BF80" s="297"/>
      <c r="BG80" s="297"/>
      <c r="BH80" s="172"/>
      <c r="BI80" s="228"/>
      <c r="BJ80" s="228"/>
      <c r="BK80" s="172"/>
      <c r="BL80" s="228"/>
      <c r="BM80" s="228"/>
      <c r="BN80" s="172"/>
      <c r="BO80" s="228"/>
      <c r="BP80" s="228"/>
      <c r="BQ80" s="29"/>
    </row>
    <row r="81" spans="1:69" ht="7.5" customHeight="1">
      <c r="A81" s="19"/>
      <c r="B81" s="247"/>
      <c r="C81" s="248"/>
      <c r="D81" s="249"/>
      <c r="E81" s="248"/>
      <c r="F81" s="248"/>
      <c r="G81" s="248"/>
      <c r="H81" s="248"/>
      <c r="I81" s="248"/>
      <c r="J81" s="248"/>
      <c r="K81" s="248"/>
      <c r="L81" s="248"/>
      <c r="M81" s="249"/>
      <c r="N81" s="216"/>
      <c r="O81" s="253"/>
      <c r="P81" s="226"/>
      <c r="Q81" s="226"/>
      <c r="R81" s="216"/>
      <c r="S81" s="253"/>
      <c r="T81" s="226"/>
      <c r="U81" s="226"/>
      <c r="V81" s="360"/>
      <c r="W81" s="361"/>
      <c r="X81" s="224"/>
      <c r="Y81" s="224"/>
      <c r="Z81" s="224"/>
      <c r="AA81" s="224"/>
      <c r="AB81" s="55"/>
      <c r="AC81" s="50"/>
      <c r="AD81" s="247"/>
      <c r="AE81" s="248"/>
      <c r="AF81" s="249"/>
      <c r="AG81" s="248"/>
      <c r="AH81" s="248"/>
      <c r="AI81" s="248"/>
      <c r="AJ81" s="248"/>
      <c r="AK81" s="248"/>
      <c r="AL81" s="248"/>
      <c r="AM81" s="248"/>
      <c r="AN81" s="248"/>
      <c r="AO81" s="249"/>
      <c r="AP81" s="216"/>
      <c r="AQ81" s="253"/>
      <c r="AR81" s="226"/>
      <c r="AS81" s="226"/>
      <c r="AT81" s="216"/>
      <c r="AU81" s="253"/>
      <c r="AV81" s="226"/>
      <c r="AW81" s="226"/>
      <c r="AX81" s="360"/>
      <c r="AY81" s="361"/>
      <c r="AZ81" s="224"/>
      <c r="BA81" s="224"/>
      <c r="BB81" s="224"/>
      <c r="BC81" s="224"/>
      <c r="BD81" s="13"/>
      <c r="BE81" s="297"/>
      <c r="BF81" s="297"/>
      <c r="BG81" s="297"/>
      <c r="BH81" s="172" t="s">
        <v>283</v>
      </c>
      <c r="BI81" s="228">
        <f>IF(INDEX(Таблицы!AQ483:AQ515,Таблицы!Y483,1)="","",INDEX(Таблицы!AQ483:AQ515,Таблицы!Y483,1))</f>
      </c>
      <c r="BJ81" s="228"/>
      <c r="BK81" s="172" t="s">
        <v>278</v>
      </c>
      <c r="BL81" s="255">
        <f>IF(INDEX(Таблицы!AR483:AR515,Таблицы!Y483,1)="","",INDEX(Таблицы!AR483:AR515,Таблицы!Y483,1))</f>
      </c>
      <c r="BM81" s="256"/>
      <c r="BN81" s="256"/>
      <c r="BO81" s="256"/>
      <c r="BP81" s="257"/>
      <c r="BQ81" s="29"/>
    </row>
    <row r="82" spans="1:69" ht="7.5" customHeight="1">
      <c r="A82" s="19"/>
      <c r="B82" s="172" t="s">
        <v>279</v>
      </c>
      <c r="C82" s="172"/>
      <c r="D82" s="229">
        <f>IF(INDEX(Таблицы!AE245:AE323,Таблицы!Y247,1)="","",INDEX(Таблицы!AE245:AE323,Таблицы!Y247,1))</f>
      </c>
      <c r="E82" s="230"/>
      <c r="F82" s="230"/>
      <c r="G82" s="230"/>
      <c r="H82" s="231"/>
      <c r="I82" s="235" t="s">
        <v>832</v>
      </c>
      <c r="J82" s="236"/>
      <c r="K82" s="237"/>
      <c r="L82" s="229">
        <f>IF(INDEX(Таблицы!AF245:AF323,Таблицы!Y247,1)="","",INDEX(Таблицы!AF245:AF323,Таблицы!Y247,1))</f>
      </c>
      <c r="M82" s="230"/>
      <c r="N82" s="230"/>
      <c r="O82" s="230"/>
      <c r="P82" s="230"/>
      <c r="Q82" s="230"/>
      <c r="R82" s="230"/>
      <c r="S82" s="230"/>
      <c r="T82" s="230"/>
      <c r="U82" s="231"/>
      <c r="V82" s="360"/>
      <c r="W82" s="361"/>
      <c r="X82" s="224">
        <v>7</v>
      </c>
      <c r="Y82" s="224"/>
      <c r="Z82" s="224">
        <v>8</v>
      </c>
      <c r="AA82" s="224"/>
      <c r="AB82" s="55"/>
      <c r="AC82" s="50"/>
      <c r="AD82" s="172" t="s">
        <v>279</v>
      </c>
      <c r="AE82" s="172"/>
      <c r="AF82" s="229">
        <f>IF(INDEX(Таблицы!AE245:AE323,Таблицы!Y248,1)="","",INDEX(Таблицы!AE245:AE323,Таблицы!Y248,1))</f>
      </c>
      <c r="AG82" s="230"/>
      <c r="AH82" s="230"/>
      <c r="AI82" s="230"/>
      <c r="AJ82" s="231"/>
      <c r="AK82" s="235" t="s">
        <v>832</v>
      </c>
      <c r="AL82" s="236"/>
      <c r="AM82" s="237"/>
      <c r="AN82" s="229">
        <f>IF(INDEX(Таблицы!AF245:AF323,Таблицы!Y248,1)="","",INDEX(Таблицы!AF245:AF323,Таблицы!Y248,1))</f>
      </c>
      <c r="AO82" s="230"/>
      <c r="AP82" s="230"/>
      <c r="AQ82" s="230"/>
      <c r="AR82" s="230"/>
      <c r="AS82" s="230"/>
      <c r="AT82" s="230"/>
      <c r="AU82" s="230"/>
      <c r="AV82" s="230"/>
      <c r="AW82" s="231"/>
      <c r="AX82" s="360"/>
      <c r="AY82" s="361"/>
      <c r="AZ82" s="224">
        <v>7</v>
      </c>
      <c r="BA82" s="224"/>
      <c r="BB82" s="224">
        <v>8</v>
      </c>
      <c r="BC82" s="224"/>
      <c r="BD82" s="13"/>
      <c r="BE82" s="297"/>
      <c r="BF82" s="297"/>
      <c r="BG82" s="297"/>
      <c r="BH82" s="172"/>
      <c r="BI82" s="228"/>
      <c r="BJ82" s="228"/>
      <c r="BK82" s="172"/>
      <c r="BL82" s="258"/>
      <c r="BM82" s="259"/>
      <c r="BN82" s="259"/>
      <c r="BO82" s="259"/>
      <c r="BP82" s="260"/>
      <c r="BQ82" s="29"/>
    </row>
    <row r="83" spans="1:69" ht="7.5" customHeight="1">
      <c r="A83" s="19"/>
      <c r="B83" s="172"/>
      <c r="C83" s="172"/>
      <c r="D83" s="232"/>
      <c r="E83" s="233"/>
      <c r="F83" s="233"/>
      <c r="G83" s="233"/>
      <c r="H83" s="234"/>
      <c r="I83" s="238"/>
      <c r="J83" s="239"/>
      <c r="K83" s="240"/>
      <c r="L83" s="232"/>
      <c r="M83" s="233"/>
      <c r="N83" s="233"/>
      <c r="O83" s="233"/>
      <c r="P83" s="233"/>
      <c r="Q83" s="233"/>
      <c r="R83" s="233"/>
      <c r="S83" s="233"/>
      <c r="T83" s="233"/>
      <c r="U83" s="234"/>
      <c r="V83" s="360"/>
      <c r="W83" s="361"/>
      <c r="X83" s="224"/>
      <c r="Y83" s="224"/>
      <c r="Z83" s="224"/>
      <c r="AA83" s="224"/>
      <c r="AB83" s="55"/>
      <c r="AC83" s="50"/>
      <c r="AD83" s="172"/>
      <c r="AE83" s="172"/>
      <c r="AF83" s="232"/>
      <c r="AG83" s="233"/>
      <c r="AH83" s="233"/>
      <c r="AI83" s="233"/>
      <c r="AJ83" s="234"/>
      <c r="AK83" s="238"/>
      <c r="AL83" s="239"/>
      <c r="AM83" s="240"/>
      <c r="AN83" s="232"/>
      <c r="AO83" s="233"/>
      <c r="AP83" s="233"/>
      <c r="AQ83" s="233"/>
      <c r="AR83" s="233"/>
      <c r="AS83" s="233"/>
      <c r="AT83" s="233"/>
      <c r="AU83" s="233"/>
      <c r="AV83" s="233"/>
      <c r="AW83" s="234"/>
      <c r="AX83" s="360"/>
      <c r="AY83" s="361"/>
      <c r="AZ83" s="224"/>
      <c r="BA83" s="224"/>
      <c r="BB83" s="224"/>
      <c r="BC83" s="224"/>
      <c r="BD83" s="13"/>
      <c r="BE83" s="297" t="s">
        <v>320</v>
      </c>
      <c r="BF83" s="297"/>
      <c r="BG83" s="297"/>
      <c r="BH83" s="172" t="s">
        <v>315</v>
      </c>
      <c r="BI83" s="228">
        <f>IF(INDEX(Таблицы!AH483:AH515,Таблицы!Y483,1)="","",INDEX(Таблицы!AH483:AH515,Таблицы!Y483,1))</f>
      </c>
      <c r="BJ83" s="228"/>
      <c r="BK83" s="172" t="s">
        <v>316</v>
      </c>
      <c r="BL83" s="228">
        <f>IF(INDEX(Таблицы!AI483:AI515,Таблицы!Y483,1)="","",INDEX(Таблицы!AI483:AI515,Таблицы!Y483,1))</f>
      </c>
      <c r="BM83" s="228"/>
      <c r="BN83" s="172" t="s">
        <v>317</v>
      </c>
      <c r="BO83" s="228">
        <f>IF(INDEX(Таблицы!AJ483:AJ515,Таблицы!Y483,1)="","",INDEX(Таблицы!AJ483:AJ515,Таблицы!Y483,1))</f>
      </c>
      <c r="BP83" s="228"/>
      <c r="BQ83" s="29"/>
    </row>
    <row r="84" spans="1:69" ht="7.5" customHeight="1">
      <c r="A84" s="19"/>
      <c r="B84" s="398" t="s">
        <v>288</v>
      </c>
      <c r="C84" s="398"/>
      <c r="D84" s="398"/>
      <c r="E84" s="398"/>
      <c r="F84" s="398"/>
      <c r="G84" s="398"/>
      <c r="H84" s="398"/>
      <c r="I84" s="398"/>
      <c r="J84" s="227"/>
      <c r="K84" s="227"/>
      <c r="L84" s="172" t="s">
        <v>286</v>
      </c>
      <c r="M84" s="172"/>
      <c r="N84" s="172"/>
      <c r="O84" s="228">
        <f>IF(INDEX(Таблицы!AI20:AI242,Таблицы!Y23,1)="","",INDEX(Таблицы!AI20:AI242,Таблицы!Y23,1))</f>
      </c>
      <c r="P84" s="228"/>
      <c r="Q84" s="172" t="s">
        <v>287</v>
      </c>
      <c r="R84" s="172"/>
      <c r="S84" s="172"/>
      <c r="T84" s="227"/>
      <c r="U84" s="227"/>
      <c r="V84" s="360"/>
      <c r="W84" s="361"/>
      <c r="X84" s="224">
        <v>9</v>
      </c>
      <c r="Y84" s="224"/>
      <c r="Z84" s="224">
        <v>10</v>
      </c>
      <c r="AA84" s="224"/>
      <c r="AB84" s="55"/>
      <c r="AC84" s="50"/>
      <c r="AD84" s="398" t="s">
        <v>288</v>
      </c>
      <c r="AE84" s="398"/>
      <c r="AF84" s="398"/>
      <c r="AG84" s="398"/>
      <c r="AH84" s="398"/>
      <c r="AI84" s="398"/>
      <c r="AJ84" s="398"/>
      <c r="AK84" s="398"/>
      <c r="AL84" s="227"/>
      <c r="AM84" s="227"/>
      <c r="AN84" s="172" t="s">
        <v>286</v>
      </c>
      <c r="AO84" s="172"/>
      <c r="AP84" s="172"/>
      <c r="AQ84" s="228">
        <f>IF(INDEX(Таблицы!AI20:AI242,Таблицы!Y24,1)="","",INDEX(Таблицы!AI20:AI242,Таблицы!Y24,1))</f>
      </c>
      <c r="AR84" s="228"/>
      <c r="AS84" s="172" t="s">
        <v>287</v>
      </c>
      <c r="AT84" s="172"/>
      <c r="AU84" s="172"/>
      <c r="AV84" s="227"/>
      <c r="AW84" s="227"/>
      <c r="AX84" s="360"/>
      <c r="AY84" s="361"/>
      <c r="AZ84" s="224">
        <v>9</v>
      </c>
      <c r="BA84" s="224"/>
      <c r="BB84" s="224">
        <v>10</v>
      </c>
      <c r="BC84" s="224"/>
      <c r="BD84" s="13"/>
      <c r="BE84" s="297"/>
      <c r="BF84" s="297"/>
      <c r="BG84" s="297"/>
      <c r="BH84" s="172"/>
      <c r="BI84" s="228"/>
      <c r="BJ84" s="228"/>
      <c r="BK84" s="172"/>
      <c r="BL84" s="228"/>
      <c r="BM84" s="228"/>
      <c r="BN84" s="172"/>
      <c r="BO84" s="228"/>
      <c r="BP84" s="228"/>
      <c r="BQ84" s="29"/>
    </row>
    <row r="85" spans="1:69" ht="7.5" customHeight="1">
      <c r="A85" s="19"/>
      <c r="B85" s="398"/>
      <c r="C85" s="398"/>
      <c r="D85" s="398"/>
      <c r="E85" s="398"/>
      <c r="F85" s="398"/>
      <c r="G85" s="398"/>
      <c r="H85" s="398"/>
      <c r="I85" s="398"/>
      <c r="J85" s="227"/>
      <c r="K85" s="227"/>
      <c r="L85" s="172"/>
      <c r="M85" s="172"/>
      <c r="N85" s="172"/>
      <c r="O85" s="228"/>
      <c r="P85" s="228"/>
      <c r="Q85" s="172"/>
      <c r="R85" s="172"/>
      <c r="S85" s="172"/>
      <c r="T85" s="227"/>
      <c r="U85" s="227"/>
      <c r="V85" s="362"/>
      <c r="W85" s="363"/>
      <c r="X85" s="224"/>
      <c r="Y85" s="224"/>
      <c r="Z85" s="224"/>
      <c r="AA85" s="224"/>
      <c r="AB85" s="55"/>
      <c r="AC85" s="50"/>
      <c r="AD85" s="398"/>
      <c r="AE85" s="398"/>
      <c r="AF85" s="398"/>
      <c r="AG85" s="398"/>
      <c r="AH85" s="398"/>
      <c r="AI85" s="398"/>
      <c r="AJ85" s="398"/>
      <c r="AK85" s="398"/>
      <c r="AL85" s="227"/>
      <c r="AM85" s="227"/>
      <c r="AN85" s="172"/>
      <c r="AO85" s="172"/>
      <c r="AP85" s="172"/>
      <c r="AQ85" s="228"/>
      <c r="AR85" s="228"/>
      <c r="AS85" s="172"/>
      <c r="AT85" s="172"/>
      <c r="AU85" s="172"/>
      <c r="AV85" s="227"/>
      <c r="AW85" s="227"/>
      <c r="AX85" s="362"/>
      <c r="AY85" s="363"/>
      <c r="AZ85" s="224"/>
      <c r="BA85" s="224"/>
      <c r="BB85" s="224"/>
      <c r="BC85" s="224"/>
      <c r="BD85" s="13"/>
      <c r="BE85" s="297"/>
      <c r="BF85" s="297"/>
      <c r="BG85" s="297"/>
      <c r="BH85" s="172" t="s">
        <v>318</v>
      </c>
      <c r="BI85" s="228">
        <f>IF(INDEX(Таблицы!AK483:AK515,Таблицы!Y483,1)="","",INDEX(Таблицы!AK483:AK515,Таблицы!Y483,1))</f>
      </c>
      <c r="BJ85" s="228"/>
      <c r="BK85" s="172" t="s">
        <v>319</v>
      </c>
      <c r="BL85" s="172"/>
      <c r="BM85" s="204">
        <f>IF(INDEX(Таблицы!AL483:AL515,Таблицы!Y483,1)="","",INDEX(Таблицы!AL483:AL515,Таблицы!Y483,1))</f>
      </c>
      <c r="BN85" s="206"/>
      <c r="BO85" s="204" t="s">
        <v>875</v>
      </c>
      <c r="BP85" s="206">
        <f>IF(INDEX(Таблицы!AM483:AM515,Таблицы!Y482,1)="","",INDEX(Таблицы!AM483:AM515,Таблицы!Y482,1))</f>
      </c>
      <c r="BQ85" s="29"/>
    </row>
    <row r="86" spans="1:69" ht="7.5" customHeight="1">
      <c r="A86" s="65"/>
      <c r="B86" s="71"/>
      <c r="C86" s="71"/>
      <c r="D86" s="71"/>
      <c r="E86" s="71"/>
      <c r="F86" s="71"/>
      <c r="G86" s="71"/>
      <c r="H86" s="71"/>
      <c r="I86" s="71"/>
      <c r="J86" s="63"/>
      <c r="K86" s="63"/>
      <c r="L86" s="64"/>
      <c r="M86" s="64"/>
      <c r="N86" s="64"/>
      <c r="O86" s="63"/>
      <c r="P86" s="63"/>
      <c r="Q86" s="64"/>
      <c r="R86" s="64"/>
      <c r="S86" s="64"/>
      <c r="T86" s="63"/>
      <c r="U86" s="63"/>
      <c r="V86" s="46"/>
      <c r="W86" s="46"/>
      <c r="X86" s="71"/>
      <c r="Y86" s="71"/>
      <c r="Z86" s="71"/>
      <c r="AA86" s="71"/>
      <c r="AB86" s="73"/>
      <c r="AC86" s="75"/>
      <c r="AD86" s="71"/>
      <c r="AE86" s="71"/>
      <c r="AF86" s="63"/>
      <c r="AG86" s="63"/>
      <c r="AH86" s="64"/>
      <c r="AI86" s="64"/>
      <c r="AJ86" s="64"/>
      <c r="AK86" s="63"/>
      <c r="AL86" s="63"/>
      <c r="AM86" s="64"/>
      <c r="AN86" s="64"/>
      <c r="AO86" s="64"/>
      <c r="AP86" s="63"/>
      <c r="AQ86" s="63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297"/>
      <c r="BF86" s="297"/>
      <c r="BG86" s="297"/>
      <c r="BH86" s="172"/>
      <c r="BI86" s="228"/>
      <c r="BJ86" s="228"/>
      <c r="BK86" s="172"/>
      <c r="BL86" s="172"/>
      <c r="BM86" s="205"/>
      <c r="BN86" s="207"/>
      <c r="BO86" s="205"/>
      <c r="BP86" s="207"/>
      <c r="BQ86" s="29"/>
    </row>
    <row r="87" spans="1:69" ht="7.5" customHeight="1" thickBot="1">
      <c r="A87" s="19"/>
      <c r="B87" s="52"/>
      <c r="C87" s="52"/>
      <c r="D87" s="52"/>
      <c r="E87" s="52"/>
      <c r="F87" s="52"/>
      <c r="G87" s="52"/>
      <c r="H87" s="52"/>
      <c r="I87" s="52"/>
      <c r="J87" s="4"/>
      <c r="K87" s="4"/>
      <c r="L87" s="48"/>
      <c r="M87" s="48"/>
      <c r="N87" s="48"/>
      <c r="O87" s="4"/>
      <c r="P87" s="4"/>
      <c r="Q87" s="48"/>
      <c r="R87" s="48"/>
      <c r="S87" s="48"/>
      <c r="T87" s="4"/>
      <c r="U87" s="4"/>
      <c r="V87" s="13"/>
      <c r="W87" s="13"/>
      <c r="X87" s="52"/>
      <c r="Y87" s="52"/>
      <c r="Z87" s="52"/>
      <c r="AA87" s="52"/>
      <c r="AB87" s="52"/>
      <c r="AC87" s="52"/>
      <c r="AD87" s="52"/>
      <c r="AE87" s="52"/>
      <c r="AF87" s="4"/>
      <c r="AG87" s="4"/>
      <c r="AH87" s="48"/>
      <c r="AI87" s="48"/>
      <c r="AJ87" s="48"/>
      <c r="AK87" s="4"/>
      <c r="AL87" s="4"/>
      <c r="AM87" s="48"/>
      <c r="AN87" s="48"/>
      <c r="AO87" s="48"/>
      <c r="AP87" s="4"/>
      <c r="AQ87" s="4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297" t="s">
        <v>876</v>
      </c>
      <c r="BF87" s="297"/>
      <c r="BG87" s="297"/>
      <c r="BH87" s="172" t="s">
        <v>315</v>
      </c>
      <c r="BI87" s="227"/>
      <c r="BJ87" s="227"/>
      <c r="BK87" s="172" t="s">
        <v>316</v>
      </c>
      <c r="BL87" s="227"/>
      <c r="BM87" s="227"/>
      <c r="BN87" s="172" t="s">
        <v>317</v>
      </c>
      <c r="BO87" s="254"/>
      <c r="BP87" s="254"/>
      <c r="BQ87" s="29"/>
    </row>
    <row r="88" spans="1:69" ht="7.5" customHeight="1">
      <c r="A88" s="19"/>
      <c r="B88" s="370" t="s">
        <v>101</v>
      </c>
      <c r="C88" s="371"/>
      <c r="D88" s="371"/>
      <c r="E88" s="371"/>
      <c r="F88" s="371"/>
      <c r="G88" s="371"/>
      <c r="H88" s="371"/>
      <c r="I88" s="371"/>
      <c r="J88" s="371"/>
      <c r="K88" s="371"/>
      <c r="L88" s="371"/>
      <c r="M88" s="371"/>
      <c r="N88" s="371"/>
      <c r="O88" s="371"/>
      <c r="P88" s="371"/>
      <c r="Q88" s="371"/>
      <c r="R88" s="371"/>
      <c r="S88" s="371"/>
      <c r="T88" s="371"/>
      <c r="U88" s="371"/>
      <c r="V88" s="371"/>
      <c r="W88" s="371"/>
      <c r="X88" s="371"/>
      <c r="Y88" s="371"/>
      <c r="Z88" s="371"/>
      <c r="AA88" s="371"/>
      <c r="AB88" s="371"/>
      <c r="AC88" s="371"/>
      <c r="AD88" s="371"/>
      <c r="AE88" s="371"/>
      <c r="AF88" s="371"/>
      <c r="AG88" s="371"/>
      <c r="AH88" s="371"/>
      <c r="AI88" s="371"/>
      <c r="AJ88" s="371"/>
      <c r="AK88" s="371"/>
      <c r="AL88" s="371"/>
      <c r="AM88" s="371"/>
      <c r="AN88" s="371"/>
      <c r="AO88" s="371"/>
      <c r="AP88" s="371"/>
      <c r="AQ88" s="371"/>
      <c r="AR88" s="371"/>
      <c r="AS88" s="371"/>
      <c r="AT88" s="371"/>
      <c r="AU88" s="371"/>
      <c r="AV88" s="371"/>
      <c r="AW88" s="371"/>
      <c r="AX88" s="371"/>
      <c r="AY88" s="371"/>
      <c r="AZ88" s="371"/>
      <c r="BA88" s="371"/>
      <c r="BB88" s="371"/>
      <c r="BC88" s="372"/>
      <c r="BD88" s="13"/>
      <c r="BE88" s="297"/>
      <c r="BF88" s="297"/>
      <c r="BG88" s="297"/>
      <c r="BH88" s="172"/>
      <c r="BI88" s="227"/>
      <c r="BJ88" s="227"/>
      <c r="BK88" s="172"/>
      <c r="BL88" s="227"/>
      <c r="BM88" s="227"/>
      <c r="BN88" s="172"/>
      <c r="BO88" s="227"/>
      <c r="BP88" s="227"/>
      <c r="BQ88" s="29"/>
    </row>
    <row r="89" spans="1:69" ht="7.5" customHeight="1" thickBot="1">
      <c r="A89" s="19"/>
      <c r="B89" s="373"/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/>
      <c r="R89" s="374"/>
      <c r="S89" s="374"/>
      <c r="T89" s="374"/>
      <c r="U89" s="374"/>
      <c r="V89" s="374"/>
      <c r="W89" s="374"/>
      <c r="X89" s="374"/>
      <c r="Y89" s="374"/>
      <c r="Z89" s="374"/>
      <c r="AA89" s="374"/>
      <c r="AB89" s="374"/>
      <c r="AC89" s="374"/>
      <c r="AD89" s="374"/>
      <c r="AE89" s="374"/>
      <c r="AF89" s="374"/>
      <c r="AG89" s="374"/>
      <c r="AH89" s="374"/>
      <c r="AI89" s="374"/>
      <c r="AJ89" s="374"/>
      <c r="AK89" s="374"/>
      <c r="AL89" s="374"/>
      <c r="AM89" s="374"/>
      <c r="AN89" s="374"/>
      <c r="AO89" s="374"/>
      <c r="AP89" s="374"/>
      <c r="AQ89" s="374"/>
      <c r="AR89" s="374"/>
      <c r="AS89" s="374"/>
      <c r="AT89" s="374"/>
      <c r="AU89" s="374"/>
      <c r="AV89" s="374"/>
      <c r="AW89" s="374"/>
      <c r="AX89" s="374"/>
      <c r="AY89" s="374"/>
      <c r="AZ89" s="374"/>
      <c r="BA89" s="374"/>
      <c r="BB89" s="374"/>
      <c r="BC89" s="375"/>
      <c r="BD89" s="13"/>
      <c r="BE89" s="297"/>
      <c r="BF89" s="297"/>
      <c r="BG89" s="297"/>
      <c r="BH89" s="172" t="s">
        <v>318</v>
      </c>
      <c r="BI89" s="227"/>
      <c r="BJ89" s="227"/>
      <c r="BK89" s="172" t="s">
        <v>319</v>
      </c>
      <c r="BL89" s="172"/>
      <c r="BM89" s="208"/>
      <c r="BN89" s="209"/>
      <c r="BO89" s="204" t="s">
        <v>875</v>
      </c>
      <c r="BP89" s="209"/>
      <c r="BQ89" s="29"/>
    </row>
    <row r="90" spans="1:69" ht="7.5" customHeight="1">
      <c r="A90" s="19"/>
      <c r="B90" s="376" t="s">
        <v>269</v>
      </c>
      <c r="C90" s="376"/>
      <c r="D90" s="376"/>
      <c r="E90" s="376"/>
      <c r="F90" s="376"/>
      <c r="G90" s="376"/>
      <c r="H90" s="376"/>
      <c r="I90" s="376"/>
      <c r="J90" s="57"/>
      <c r="K90" s="376" t="s">
        <v>296</v>
      </c>
      <c r="L90" s="376"/>
      <c r="M90" s="376"/>
      <c r="N90" s="376"/>
      <c r="O90" s="376"/>
      <c r="P90" s="376"/>
      <c r="Q90" s="282" t="s">
        <v>291</v>
      </c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  <c r="AC90" s="282"/>
      <c r="AD90" s="282"/>
      <c r="AE90" s="282"/>
      <c r="AF90" s="282"/>
      <c r="AG90" s="282"/>
      <c r="AH90" s="282"/>
      <c r="AI90" s="282"/>
      <c r="AJ90" s="282"/>
      <c r="AK90" s="283"/>
      <c r="AL90" s="13"/>
      <c r="AM90" s="376" t="s">
        <v>297</v>
      </c>
      <c r="AN90" s="376"/>
      <c r="AO90" s="376"/>
      <c r="AP90" s="396"/>
      <c r="AQ90" s="282"/>
      <c r="AR90" s="282"/>
      <c r="AS90" s="282"/>
      <c r="AT90" s="282"/>
      <c r="AU90" s="282"/>
      <c r="AV90" s="282"/>
      <c r="AW90" s="282"/>
      <c r="AX90" s="282"/>
      <c r="AY90" s="282"/>
      <c r="AZ90" s="282"/>
      <c r="BA90" s="282"/>
      <c r="BB90" s="282"/>
      <c r="BC90" s="283"/>
      <c r="BD90" s="13"/>
      <c r="BE90" s="297"/>
      <c r="BF90" s="297"/>
      <c r="BG90" s="297"/>
      <c r="BH90" s="172"/>
      <c r="BI90" s="227"/>
      <c r="BJ90" s="227"/>
      <c r="BK90" s="172"/>
      <c r="BL90" s="172"/>
      <c r="BM90" s="210"/>
      <c r="BN90" s="211"/>
      <c r="BO90" s="205"/>
      <c r="BP90" s="211"/>
      <c r="BQ90" s="29"/>
    </row>
    <row r="91" spans="1:69" ht="7.5" customHeight="1">
      <c r="A91" s="19"/>
      <c r="B91" s="377"/>
      <c r="C91" s="377"/>
      <c r="D91" s="377"/>
      <c r="E91" s="377"/>
      <c r="F91" s="377"/>
      <c r="G91" s="377"/>
      <c r="H91" s="377"/>
      <c r="I91" s="377"/>
      <c r="J91" s="57"/>
      <c r="K91" s="377"/>
      <c r="L91" s="377"/>
      <c r="M91" s="377"/>
      <c r="N91" s="377"/>
      <c r="O91" s="377"/>
      <c r="P91" s="377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83"/>
      <c r="AL91" s="51"/>
      <c r="AM91" s="377"/>
      <c r="AN91" s="377"/>
      <c r="AO91" s="377"/>
      <c r="AP91" s="396"/>
      <c r="AQ91" s="282"/>
      <c r="AR91" s="282"/>
      <c r="AS91" s="282"/>
      <c r="AT91" s="282"/>
      <c r="AU91" s="282"/>
      <c r="AV91" s="282"/>
      <c r="AW91" s="282"/>
      <c r="AX91" s="282"/>
      <c r="AY91" s="282"/>
      <c r="AZ91" s="282"/>
      <c r="BA91" s="282"/>
      <c r="BB91" s="282"/>
      <c r="BC91" s="283"/>
      <c r="BD91" s="13"/>
      <c r="BE91" s="297" t="s">
        <v>321</v>
      </c>
      <c r="BF91" s="297"/>
      <c r="BG91" s="297"/>
      <c r="BH91" s="172" t="s">
        <v>315</v>
      </c>
      <c r="BI91" s="228">
        <f>IF(BI83="","",BI83+BI87)</f>
      </c>
      <c r="BJ91" s="228"/>
      <c r="BK91" s="172" t="s">
        <v>316</v>
      </c>
      <c r="BL91" s="228">
        <f>IF(BL83="","",BL83+BL87)</f>
      </c>
      <c r="BM91" s="228"/>
      <c r="BN91" s="172" t="s">
        <v>317</v>
      </c>
      <c r="BO91" s="228">
        <f>IF(BO83="","",BO83-BO87)</f>
      </c>
      <c r="BP91" s="228"/>
      <c r="BQ91" s="29"/>
    </row>
    <row r="92" spans="1:69" ht="7.5" customHeight="1">
      <c r="A92" s="19"/>
      <c r="B92" s="377"/>
      <c r="C92" s="377"/>
      <c r="D92" s="377"/>
      <c r="E92" s="377"/>
      <c r="F92" s="377"/>
      <c r="G92" s="377"/>
      <c r="H92" s="377"/>
      <c r="I92" s="377"/>
      <c r="J92" s="57"/>
      <c r="K92" s="377"/>
      <c r="L92" s="377"/>
      <c r="M92" s="377"/>
      <c r="N92" s="377"/>
      <c r="O92" s="377"/>
      <c r="P92" s="377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5"/>
      <c r="AL92" s="51"/>
      <c r="AM92" s="377"/>
      <c r="AN92" s="377"/>
      <c r="AO92" s="377"/>
      <c r="AP92" s="397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5"/>
      <c r="BD92" s="13"/>
      <c r="BE92" s="297"/>
      <c r="BF92" s="297"/>
      <c r="BG92" s="297"/>
      <c r="BH92" s="172"/>
      <c r="BI92" s="228"/>
      <c r="BJ92" s="228"/>
      <c r="BK92" s="172"/>
      <c r="BL92" s="228"/>
      <c r="BM92" s="228"/>
      <c r="BN92" s="172"/>
      <c r="BO92" s="228"/>
      <c r="BP92" s="228"/>
      <c r="BQ92" s="29"/>
    </row>
    <row r="93" spans="1:69" ht="7.5" customHeight="1">
      <c r="A93" s="19"/>
      <c r="B93" s="172" t="s">
        <v>293</v>
      </c>
      <c r="C93" s="172"/>
      <c r="D93" s="172"/>
      <c r="E93" s="172"/>
      <c r="F93" s="172"/>
      <c r="G93" s="172"/>
      <c r="H93" s="172"/>
      <c r="I93" s="172"/>
      <c r="J93" s="49"/>
      <c r="K93" s="172" t="s">
        <v>298</v>
      </c>
      <c r="L93" s="172"/>
      <c r="M93" s="172"/>
      <c r="N93" s="228">
        <f>IF(INDEX(Таблицы!AC332:AC375,Таблицы!Y333,1)="","",INDEX(Таблицы!AC332:AC375,Таблицы!Y333,1))</f>
      </c>
      <c r="O93" s="228"/>
      <c r="P93" s="228"/>
      <c r="Q93" s="384" t="s">
        <v>103</v>
      </c>
      <c r="R93" s="384"/>
      <c r="S93" s="384"/>
      <c r="T93" s="384"/>
      <c r="U93" s="385"/>
      <c r="V93" s="383" t="s">
        <v>294</v>
      </c>
      <c r="W93" s="384"/>
      <c r="X93" s="384"/>
      <c r="Y93" s="384"/>
      <c r="Z93" s="385"/>
      <c r="AA93" s="327" t="s">
        <v>299</v>
      </c>
      <c r="AB93" s="328"/>
      <c r="AC93" s="328"/>
      <c r="AD93" s="328"/>
      <c r="AE93" s="346"/>
      <c r="AF93" s="44"/>
      <c r="AG93" s="54"/>
      <c r="AH93" s="44"/>
      <c r="AI93" s="44"/>
      <c r="AJ93" s="44"/>
      <c r="AK93" s="45"/>
      <c r="AL93" s="13"/>
      <c r="AM93" s="327" t="s">
        <v>298</v>
      </c>
      <c r="AN93" s="328"/>
      <c r="AO93" s="346"/>
      <c r="AP93" s="354">
        <f>IF(INDEX(Таблицы!AC378:AC396,Таблицы!Y379,1)="","",INDEX(Таблицы!AC378:AC396,Таблицы!Y379,1))</f>
      </c>
      <c r="AQ93" s="355"/>
      <c r="AR93" s="356"/>
      <c r="AS93" s="383" t="s">
        <v>103</v>
      </c>
      <c r="AT93" s="384"/>
      <c r="AU93" s="384"/>
      <c r="AV93" s="384"/>
      <c r="AW93" s="385"/>
      <c r="AX93" s="44"/>
      <c r="AY93" s="54"/>
      <c r="AZ93" s="44"/>
      <c r="BA93" s="44"/>
      <c r="BB93" s="44"/>
      <c r="BC93" s="45"/>
      <c r="BD93" s="13"/>
      <c r="BE93" s="297"/>
      <c r="BF93" s="297"/>
      <c r="BG93" s="297"/>
      <c r="BH93" s="172" t="s">
        <v>318</v>
      </c>
      <c r="BI93" s="228">
        <f>IF(BI85="","",BI85+BI89)</f>
      </c>
      <c r="BJ93" s="228"/>
      <c r="BK93" s="172" t="s">
        <v>319</v>
      </c>
      <c r="BL93" s="172"/>
      <c r="BM93" s="204">
        <f>IF(BM85="","",BM85+BM89)</f>
      </c>
      <c r="BN93" s="206"/>
      <c r="BO93" s="204" t="s">
        <v>875</v>
      </c>
      <c r="BP93" s="206">
        <f>IF(BP85="","",BP85+BP89)</f>
      </c>
      <c r="BQ93" s="29"/>
    </row>
    <row r="94" spans="1:69" ht="7.5" customHeight="1">
      <c r="A94" s="19"/>
      <c r="B94" s="172"/>
      <c r="C94" s="172"/>
      <c r="D94" s="172"/>
      <c r="E94" s="172"/>
      <c r="F94" s="172"/>
      <c r="G94" s="172"/>
      <c r="H94" s="172"/>
      <c r="I94" s="172"/>
      <c r="J94" s="49"/>
      <c r="K94" s="172"/>
      <c r="L94" s="172"/>
      <c r="M94" s="172"/>
      <c r="N94" s="228"/>
      <c r="O94" s="228"/>
      <c r="P94" s="228"/>
      <c r="Q94" s="330"/>
      <c r="R94" s="330"/>
      <c r="S94" s="384"/>
      <c r="T94" s="384"/>
      <c r="U94" s="385"/>
      <c r="V94" s="329"/>
      <c r="W94" s="330"/>
      <c r="X94" s="384"/>
      <c r="Y94" s="384"/>
      <c r="Z94" s="385"/>
      <c r="AA94" s="329"/>
      <c r="AB94" s="330"/>
      <c r="AC94" s="330"/>
      <c r="AD94" s="330"/>
      <c r="AE94" s="347"/>
      <c r="AF94" s="53"/>
      <c r="AG94" s="13"/>
      <c r="AH94" s="46"/>
      <c r="AI94" s="46"/>
      <c r="AJ94" s="46"/>
      <c r="AK94" s="47"/>
      <c r="AL94" s="56"/>
      <c r="AM94" s="329"/>
      <c r="AN94" s="330"/>
      <c r="AO94" s="347"/>
      <c r="AP94" s="357"/>
      <c r="AQ94" s="358"/>
      <c r="AR94" s="359"/>
      <c r="AS94" s="329"/>
      <c r="AT94" s="330"/>
      <c r="AU94" s="384"/>
      <c r="AV94" s="384"/>
      <c r="AW94" s="385"/>
      <c r="AX94" s="53"/>
      <c r="AY94" s="13"/>
      <c r="AZ94" s="46"/>
      <c r="BA94" s="46"/>
      <c r="BB94" s="46"/>
      <c r="BC94" s="47"/>
      <c r="BD94" s="13"/>
      <c r="BE94" s="297"/>
      <c r="BF94" s="297"/>
      <c r="BG94" s="297"/>
      <c r="BH94" s="172"/>
      <c r="BI94" s="228"/>
      <c r="BJ94" s="228"/>
      <c r="BK94" s="172"/>
      <c r="BL94" s="172"/>
      <c r="BM94" s="205"/>
      <c r="BN94" s="207"/>
      <c r="BO94" s="205"/>
      <c r="BP94" s="207"/>
      <c r="BQ94" s="29"/>
    </row>
    <row r="95" spans="1:69" ht="7.5" customHeight="1">
      <c r="A95" s="19"/>
      <c r="B95" s="228">
        <f>O66+IF(N93="",0,N93)</f>
        <v>5</v>
      </c>
      <c r="C95" s="228"/>
      <c r="D95" s="228"/>
      <c r="E95" s="228"/>
      <c r="F95" s="228"/>
      <c r="G95" s="228"/>
      <c r="H95" s="228"/>
      <c r="I95" s="228"/>
      <c r="J95" s="58"/>
      <c r="K95" s="378" t="s">
        <v>231</v>
      </c>
      <c r="L95" s="378"/>
      <c r="M95" s="378"/>
      <c r="N95" s="378"/>
      <c r="O95" s="378"/>
      <c r="P95" s="378"/>
      <c r="Q95" s="387">
        <f>IF(INDEX(Таблицы!AD332:AD375,Таблицы!Y333,1)="",0,INDEX(Таблицы!AD332:AD375,Таблицы!Y333,1))+INDEX(Таблицы!V2:V10,Таблицы!F1,1)+IF(AND(Таблицы!F1=8,OR(Таблицы!F84=26,Таблицы!F85=26)),5,0)</f>
        <v>0</v>
      </c>
      <c r="R95" s="369"/>
      <c r="S95" s="365">
        <f>IF(INDEX(Таблицы!AE332:AE375,Таблицы!Y333,1)&lt;Таблицы!AU344/100,0,INDEX(Таблицы!AE332:AE375,Таблицы!Y333,1)-Таблицы!AU344/100)+INDEX(Таблицы!W2:W10,Таблицы!F1,1)</f>
        <v>0</v>
      </c>
      <c r="T95" s="365"/>
      <c r="U95" s="366"/>
      <c r="V95" s="274"/>
      <c r="W95" s="386"/>
      <c r="X95" s="379"/>
      <c r="Y95" s="379"/>
      <c r="Z95" s="380"/>
      <c r="AA95" s="298">
        <f>Q95+V95</f>
        <v>0</v>
      </c>
      <c r="AB95" s="369"/>
      <c r="AC95" s="365">
        <f>IF(S95+X95&lt;0,0,S95+X95)</f>
        <v>0</v>
      </c>
      <c r="AD95" s="365"/>
      <c r="AE95" s="366"/>
      <c r="AF95" s="360" t="s">
        <v>100</v>
      </c>
      <c r="AG95" s="361"/>
      <c r="AH95" s="364">
        <v>1</v>
      </c>
      <c r="AI95" s="364"/>
      <c r="AJ95" s="364">
        <v>2</v>
      </c>
      <c r="AK95" s="364"/>
      <c r="AL95" s="13"/>
      <c r="AM95" s="378" t="s">
        <v>231</v>
      </c>
      <c r="AN95" s="378"/>
      <c r="AO95" s="378"/>
      <c r="AP95" s="378"/>
      <c r="AQ95" s="378"/>
      <c r="AR95" s="378"/>
      <c r="AS95" s="298">
        <f>IF(INDEX(Таблицы!AD378:AD396,Таблицы!Y379,1)="",0,INDEX(Таблицы!AD378:AD396,Таблицы!Y379,1))</f>
        <v>0</v>
      </c>
      <c r="AT95" s="369"/>
      <c r="AU95" s="365">
        <f>IF(INDEX(Таблицы!AE378:AE396,Таблицы!Y379,1)&lt;Таблицы!AT390/100,0,INDEX(Таблицы!AE378:AE396,Таблицы!Y379,1)-Таблицы!AT390/100)</f>
        <v>0</v>
      </c>
      <c r="AV95" s="365"/>
      <c r="AW95" s="366"/>
      <c r="AX95" s="360" t="s">
        <v>100</v>
      </c>
      <c r="AY95" s="361"/>
      <c r="AZ95" s="364">
        <v>1</v>
      </c>
      <c r="BA95" s="364"/>
      <c r="BB95" s="364">
        <v>2</v>
      </c>
      <c r="BC95" s="364"/>
      <c r="BD95" s="13"/>
      <c r="BE95" s="327" t="s">
        <v>327</v>
      </c>
      <c r="BF95" s="328"/>
      <c r="BG95" s="328"/>
      <c r="BH95" s="328"/>
      <c r="BI95" s="328"/>
      <c r="BJ95" s="328"/>
      <c r="BK95" s="328"/>
      <c r="BL95" s="328"/>
      <c r="BM95" s="328"/>
      <c r="BN95" s="328"/>
      <c r="BO95" s="328"/>
      <c r="BP95" s="346"/>
      <c r="BQ95" s="29"/>
    </row>
    <row r="96" spans="1:69" ht="7.5" customHeight="1">
      <c r="A96" s="19"/>
      <c r="B96" s="228"/>
      <c r="C96" s="228"/>
      <c r="D96" s="228"/>
      <c r="E96" s="228"/>
      <c r="F96" s="228"/>
      <c r="G96" s="228"/>
      <c r="H96" s="228"/>
      <c r="I96" s="228"/>
      <c r="J96" s="58"/>
      <c r="K96" s="378"/>
      <c r="L96" s="378"/>
      <c r="M96" s="378"/>
      <c r="N96" s="378"/>
      <c r="O96" s="378"/>
      <c r="P96" s="378"/>
      <c r="Q96" s="387"/>
      <c r="R96" s="369"/>
      <c r="S96" s="367"/>
      <c r="T96" s="367"/>
      <c r="U96" s="368"/>
      <c r="V96" s="274"/>
      <c r="W96" s="386"/>
      <c r="X96" s="381"/>
      <c r="Y96" s="381"/>
      <c r="Z96" s="382"/>
      <c r="AA96" s="298"/>
      <c r="AB96" s="369"/>
      <c r="AC96" s="367"/>
      <c r="AD96" s="367"/>
      <c r="AE96" s="368"/>
      <c r="AF96" s="360"/>
      <c r="AG96" s="361"/>
      <c r="AH96" s="224"/>
      <c r="AI96" s="224"/>
      <c r="AJ96" s="224"/>
      <c r="AK96" s="224"/>
      <c r="AL96" s="13"/>
      <c r="AM96" s="378"/>
      <c r="AN96" s="378"/>
      <c r="AO96" s="378"/>
      <c r="AP96" s="378"/>
      <c r="AQ96" s="378"/>
      <c r="AR96" s="378"/>
      <c r="AS96" s="298"/>
      <c r="AT96" s="369"/>
      <c r="AU96" s="367"/>
      <c r="AV96" s="367"/>
      <c r="AW96" s="368"/>
      <c r="AX96" s="360"/>
      <c r="AY96" s="361"/>
      <c r="AZ96" s="224"/>
      <c r="BA96" s="224"/>
      <c r="BB96" s="224"/>
      <c r="BC96" s="224"/>
      <c r="BD96" s="13"/>
      <c r="BE96" s="329"/>
      <c r="BF96" s="330"/>
      <c r="BG96" s="330"/>
      <c r="BH96" s="330"/>
      <c r="BI96" s="330"/>
      <c r="BJ96" s="330"/>
      <c r="BK96" s="330"/>
      <c r="BL96" s="330"/>
      <c r="BM96" s="330"/>
      <c r="BN96" s="330"/>
      <c r="BO96" s="330"/>
      <c r="BP96" s="347"/>
      <c r="BQ96" s="29"/>
    </row>
    <row r="97" spans="1:69" ht="7.5" customHeight="1">
      <c r="A97" s="19"/>
      <c r="B97" s="172" t="s">
        <v>300</v>
      </c>
      <c r="C97" s="172"/>
      <c r="D97" s="172"/>
      <c r="E97" s="172"/>
      <c r="F97" s="172"/>
      <c r="G97" s="172"/>
      <c r="H97" s="172"/>
      <c r="I97" s="172"/>
      <c r="J97" s="49"/>
      <c r="K97" s="378" t="s">
        <v>104</v>
      </c>
      <c r="L97" s="378"/>
      <c r="M97" s="378"/>
      <c r="N97" s="378"/>
      <c r="O97" s="378"/>
      <c r="P97" s="378"/>
      <c r="Q97" s="387">
        <f>IF(INDEX(Таблицы!AF332:AF375,Таблицы!Y333,1)="",0,INDEX(Таблицы!AF332:AF375,Таблицы!Y333,1))+INDEX(Таблицы!X2:X10,Таблицы!F1,1)+IF(AND(Таблицы!F1=8,OR(Таблицы!F84=26,Таблицы!F85=26)),5,0)</f>
        <v>0</v>
      </c>
      <c r="R97" s="369"/>
      <c r="S97" s="365">
        <f>IF(INDEX(Таблицы!AG332:AG375,Таблицы!Y333,1)&lt;Таблицы!AU344/100,0,INDEX(Таблицы!AG332:AG375,Таблицы!Y333,1)-Таблицы!AU344/100)+INDEX(Таблицы!Y2:Y10,Таблицы!F1,1)</f>
        <v>0</v>
      </c>
      <c r="T97" s="365"/>
      <c r="U97" s="366"/>
      <c r="V97" s="274"/>
      <c r="W97" s="386"/>
      <c r="X97" s="379"/>
      <c r="Y97" s="379"/>
      <c r="Z97" s="380"/>
      <c r="AA97" s="298">
        <f>Q97+V97</f>
        <v>0</v>
      </c>
      <c r="AB97" s="369"/>
      <c r="AC97" s="365">
        <f>IF(S97+X97&lt;0,0,S97+X97)</f>
        <v>0</v>
      </c>
      <c r="AD97" s="365"/>
      <c r="AE97" s="366"/>
      <c r="AF97" s="360"/>
      <c r="AG97" s="361"/>
      <c r="AH97" s="224">
        <v>3</v>
      </c>
      <c r="AI97" s="224"/>
      <c r="AJ97" s="224">
        <v>4</v>
      </c>
      <c r="AK97" s="224"/>
      <c r="AL97" s="13"/>
      <c r="AM97" s="378" t="s">
        <v>104</v>
      </c>
      <c r="AN97" s="378"/>
      <c r="AO97" s="378"/>
      <c r="AP97" s="378"/>
      <c r="AQ97" s="378"/>
      <c r="AR97" s="378"/>
      <c r="AS97" s="298">
        <f>IF(INDEX(Таблицы!AF378:AF396,Таблицы!Y379,1)="",0,INDEX(Таблицы!AF378:AF396,Таблицы!Y379,1))</f>
        <v>0</v>
      </c>
      <c r="AT97" s="369"/>
      <c r="AU97" s="365">
        <f>IF(INDEX(Таблицы!AG378:AG396,Таблицы!Y379,1)&lt;Таблицы!AT390/100,0,INDEX(Таблицы!AG378:AG396,Таблицы!Y379,1)-Таблицы!AT390/100)</f>
        <v>0</v>
      </c>
      <c r="AV97" s="365"/>
      <c r="AW97" s="366"/>
      <c r="AX97" s="360"/>
      <c r="AY97" s="361"/>
      <c r="AZ97" s="224">
        <v>3</v>
      </c>
      <c r="BA97" s="224"/>
      <c r="BB97" s="224">
        <v>4</v>
      </c>
      <c r="BC97" s="224"/>
      <c r="BD97" s="13"/>
      <c r="BE97" s="348">
        <f>IF(INDEX(Таблицы!AT483:AT515,Таблицы!Y483,1)="","",INDEX(Таблицы!AT483:AT515,Таблицы!Y483,1))</f>
      </c>
      <c r="BF97" s="349"/>
      <c r="BG97" s="349"/>
      <c r="BH97" s="349"/>
      <c r="BI97" s="349"/>
      <c r="BJ97" s="349"/>
      <c r="BK97" s="349"/>
      <c r="BL97" s="349"/>
      <c r="BM97" s="349"/>
      <c r="BN97" s="349"/>
      <c r="BO97" s="349"/>
      <c r="BP97" s="350"/>
      <c r="BQ97" s="29"/>
    </row>
    <row r="98" spans="1:69" ht="7.5" customHeight="1">
      <c r="A98" s="19"/>
      <c r="B98" s="172"/>
      <c r="C98" s="172"/>
      <c r="D98" s="172"/>
      <c r="E98" s="172"/>
      <c r="F98" s="172"/>
      <c r="G98" s="172"/>
      <c r="H98" s="172"/>
      <c r="I98" s="172"/>
      <c r="J98" s="49"/>
      <c r="K98" s="378"/>
      <c r="L98" s="378"/>
      <c r="M98" s="378"/>
      <c r="N98" s="378"/>
      <c r="O98" s="378"/>
      <c r="P98" s="378"/>
      <c r="Q98" s="387"/>
      <c r="R98" s="369"/>
      <c r="S98" s="367"/>
      <c r="T98" s="367"/>
      <c r="U98" s="368"/>
      <c r="V98" s="274"/>
      <c r="W98" s="386"/>
      <c r="X98" s="381"/>
      <c r="Y98" s="381"/>
      <c r="Z98" s="382"/>
      <c r="AA98" s="298"/>
      <c r="AB98" s="369"/>
      <c r="AC98" s="367"/>
      <c r="AD98" s="367"/>
      <c r="AE98" s="368"/>
      <c r="AF98" s="360"/>
      <c r="AG98" s="361"/>
      <c r="AH98" s="224"/>
      <c r="AI98" s="224"/>
      <c r="AJ98" s="224"/>
      <c r="AK98" s="224"/>
      <c r="AL98" s="13"/>
      <c r="AM98" s="378"/>
      <c r="AN98" s="378"/>
      <c r="AO98" s="378"/>
      <c r="AP98" s="378"/>
      <c r="AQ98" s="378"/>
      <c r="AR98" s="378"/>
      <c r="AS98" s="298"/>
      <c r="AT98" s="369"/>
      <c r="AU98" s="367"/>
      <c r="AV98" s="367"/>
      <c r="AW98" s="368"/>
      <c r="AX98" s="360"/>
      <c r="AY98" s="361"/>
      <c r="AZ98" s="224"/>
      <c r="BA98" s="224"/>
      <c r="BB98" s="224"/>
      <c r="BC98" s="224"/>
      <c r="BD98" s="13"/>
      <c r="BE98" s="351"/>
      <c r="BF98" s="352"/>
      <c r="BG98" s="352"/>
      <c r="BH98" s="352"/>
      <c r="BI98" s="352"/>
      <c r="BJ98" s="352"/>
      <c r="BK98" s="352"/>
      <c r="BL98" s="352"/>
      <c r="BM98" s="352"/>
      <c r="BN98" s="352"/>
      <c r="BO98" s="352"/>
      <c r="BP98" s="353"/>
      <c r="BQ98" s="29"/>
    </row>
    <row r="99" spans="1:69" ht="7.5" customHeight="1" thickBot="1">
      <c r="A99" s="19"/>
      <c r="B99" s="227"/>
      <c r="C99" s="227"/>
      <c r="D99" s="227"/>
      <c r="E99" s="227"/>
      <c r="F99" s="227"/>
      <c r="G99" s="227"/>
      <c r="H99" s="227"/>
      <c r="I99" s="227"/>
      <c r="J99" s="58"/>
      <c r="K99" s="378" t="s">
        <v>107</v>
      </c>
      <c r="L99" s="378"/>
      <c r="M99" s="378"/>
      <c r="N99" s="378"/>
      <c r="O99" s="378"/>
      <c r="P99" s="378"/>
      <c r="Q99" s="387">
        <f>IF(INDEX(Таблицы!AH332:AH375,Таблицы!Y333,1)="",0,INDEX(Таблицы!AH332:AH375,Таблицы!Y333,1))+INDEX(Таблицы!Z2:Z10,Таблицы!F1,1)+IF(AND(Таблицы!F1=8,OR(Таблицы!F84=26,Таблицы!F85=26)),5,0)</f>
        <v>0</v>
      </c>
      <c r="R99" s="369"/>
      <c r="S99" s="365">
        <f>IF(INDEX(Таблицы!AI332:AI375,Таблицы!Y333,1)&lt;Таблицы!AU344/100,0,INDEX(Таблицы!AI332:AI375,Таблицы!Y333,1)-Таблицы!AU344/100)+INDEX(Таблицы!AA2:AA10,Таблицы!F1,1)</f>
        <v>0</v>
      </c>
      <c r="T99" s="365"/>
      <c r="U99" s="366"/>
      <c r="V99" s="274"/>
      <c r="W99" s="386"/>
      <c r="X99" s="379"/>
      <c r="Y99" s="379"/>
      <c r="Z99" s="380"/>
      <c r="AA99" s="298">
        <f>Q99+V99</f>
        <v>0</v>
      </c>
      <c r="AB99" s="369"/>
      <c r="AC99" s="365">
        <f>IF(S99+X99&lt;0,0,S99+X99)</f>
        <v>0</v>
      </c>
      <c r="AD99" s="365"/>
      <c r="AE99" s="366"/>
      <c r="AF99" s="360"/>
      <c r="AG99" s="361"/>
      <c r="AH99" s="224">
        <v>5</v>
      </c>
      <c r="AI99" s="224"/>
      <c r="AJ99" s="224">
        <v>6</v>
      </c>
      <c r="AK99" s="224"/>
      <c r="AL99" s="13"/>
      <c r="AM99" s="378" t="s">
        <v>107</v>
      </c>
      <c r="AN99" s="378"/>
      <c r="AO99" s="378"/>
      <c r="AP99" s="378"/>
      <c r="AQ99" s="378"/>
      <c r="AR99" s="378"/>
      <c r="AS99" s="298">
        <f>IF(INDEX(Таблицы!AH378:AH396,Таблицы!Y379,1)="",0,INDEX(Таблицы!AH378:AH396,Таблицы!Y379,1))</f>
        <v>0</v>
      </c>
      <c r="AT99" s="369"/>
      <c r="AU99" s="365">
        <f>IF(INDEX(Таблицы!AI378:AI396,Таблицы!Y379,1)&lt;Таблицы!AT390/100,0,INDEX(Таблицы!AI378:AI396,Таблицы!Y379,1)-Таблицы!AT390/100)</f>
        <v>0</v>
      </c>
      <c r="AV99" s="365"/>
      <c r="AW99" s="366"/>
      <c r="AX99" s="360"/>
      <c r="AY99" s="361"/>
      <c r="AZ99" s="224">
        <v>5</v>
      </c>
      <c r="BA99" s="224"/>
      <c r="BB99" s="224">
        <v>6</v>
      </c>
      <c r="BC99" s="224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29"/>
    </row>
    <row r="100" spans="1:69" ht="7.5" customHeight="1">
      <c r="A100" s="19"/>
      <c r="B100" s="227"/>
      <c r="C100" s="227"/>
      <c r="D100" s="227"/>
      <c r="E100" s="227"/>
      <c r="F100" s="227"/>
      <c r="G100" s="227"/>
      <c r="H100" s="227"/>
      <c r="I100" s="227"/>
      <c r="J100" s="58"/>
      <c r="K100" s="378"/>
      <c r="L100" s="378"/>
      <c r="M100" s="378"/>
      <c r="N100" s="378"/>
      <c r="O100" s="378"/>
      <c r="P100" s="378"/>
      <c r="Q100" s="387"/>
      <c r="R100" s="369"/>
      <c r="S100" s="367"/>
      <c r="T100" s="367"/>
      <c r="U100" s="368"/>
      <c r="V100" s="274"/>
      <c r="W100" s="386"/>
      <c r="X100" s="381"/>
      <c r="Y100" s="381"/>
      <c r="Z100" s="382"/>
      <c r="AA100" s="298"/>
      <c r="AB100" s="369"/>
      <c r="AC100" s="367"/>
      <c r="AD100" s="367"/>
      <c r="AE100" s="368"/>
      <c r="AF100" s="360"/>
      <c r="AG100" s="361"/>
      <c r="AH100" s="224"/>
      <c r="AI100" s="224"/>
      <c r="AJ100" s="224"/>
      <c r="AK100" s="224"/>
      <c r="AL100" s="13"/>
      <c r="AM100" s="378"/>
      <c r="AN100" s="378"/>
      <c r="AO100" s="378"/>
      <c r="AP100" s="378"/>
      <c r="AQ100" s="378"/>
      <c r="AR100" s="378"/>
      <c r="AS100" s="298"/>
      <c r="AT100" s="369"/>
      <c r="AU100" s="367"/>
      <c r="AV100" s="367"/>
      <c r="AW100" s="368"/>
      <c r="AX100" s="360"/>
      <c r="AY100" s="361"/>
      <c r="AZ100" s="224"/>
      <c r="BA100" s="224"/>
      <c r="BB100" s="224"/>
      <c r="BC100" s="224"/>
      <c r="BD100" s="13"/>
      <c r="BE100" s="321" t="s">
        <v>1077</v>
      </c>
      <c r="BF100" s="322"/>
      <c r="BG100" s="322"/>
      <c r="BH100" s="322"/>
      <c r="BI100" s="322"/>
      <c r="BJ100" s="322"/>
      <c r="BK100" s="322"/>
      <c r="BL100" s="322"/>
      <c r="BM100" s="322"/>
      <c r="BN100" s="322"/>
      <c r="BO100" s="322"/>
      <c r="BP100" s="323"/>
      <c r="BQ100" s="29"/>
    </row>
    <row r="101" spans="1:69" ht="7.5" customHeight="1" thickBot="1">
      <c r="A101" s="59"/>
      <c r="B101" s="172" t="s">
        <v>295</v>
      </c>
      <c r="C101" s="172"/>
      <c r="D101" s="172"/>
      <c r="E101" s="172"/>
      <c r="F101" s="172"/>
      <c r="G101" s="172"/>
      <c r="H101" s="172"/>
      <c r="I101" s="172"/>
      <c r="J101" s="49"/>
      <c r="K101" s="378" t="s">
        <v>105</v>
      </c>
      <c r="L101" s="378"/>
      <c r="M101" s="378"/>
      <c r="N101" s="378"/>
      <c r="O101" s="378"/>
      <c r="P101" s="378"/>
      <c r="Q101" s="387">
        <f>IF(INDEX(Таблицы!AJ332:AJ375,Таблицы!Y333,1)="",0,INDEX(Таблицы!AJ332:AJ375,Таблицы!Y333,1))+INDEX(Таблицы!AB2:AB10,Таблицы!F1,1)+IF(AND(Таблицы!F1=8,OR(Таблицы!F84=26,Таблицы!F85=26)),5,0)</f>
        <v>0</v>
      </c>
      <c r="R101" s="369"/>
      <c r="S101" s="365">
        <f>IF(INDEX(Таблицы!AK332:AK375,Таблицы!Y333,1)&lt;Таблицы!AU344/100,0,INDEX(Таблицы!AK332:AK375,Таблицы!Y333,1)-Таблицы!AU344/100)+INDEX(Таблицы!AC2:AC10,Таблицы!F1,1)</f>
        <v>0</v>
      </c>
      <c r="T101" s="365"/>
      <c r="U101" s="366"/>
      <c r="V101" s="274"/>
      <c r="W101" s="386"/>
      <c r="X101" s="379"/>
      <c r="Y101" s="379"/>
      <c r="Z101" s="380"/>
      <c r="AA101" s="298">
        <f>Q101+V101</f>
        <v>0</v>
      </c>
      <c r="AB101" s="369"/>
      <c r="AC101" s="365">
        <f>IF(S101+X101&lt;0,0,S101+X101)</f>
        <v>0</v>
      </c>
      <c r="AD101" s="365"/>
      <c r="AE101" s="366"/>
      <c r="AF101" s="360"/>
      <c r="AG101" s="361"/>
      <c r="AH101" s="224">
        <v>7</v>
      </c>
      <c r="AI101" s="224"/>
      <c r="AJ101" s="224">
        <v>8</v>
      </c>
      <c r="AK101" s="224"/>
      <c r="AL101" s="13"/>
      <c r="AM101" s="378" t="s">
        <v>105</v>
      </c>
      <c r="AN101" s="378"/>
      <c r="AO101" s="378"/>
      <c r="AP101" s="378"/>
      <c r="AQ101" s="378"/>
      <c r="AR101" s="378"/>
      <c r="AS101" s="298">
        <f>IF(INDEX(Таблицы!AJ378:AJ396,Таблицы!Y379,1)="",0,INDEX(Таблицы!AJ378:AJ396,Таблицы!Y379,1))</f>
        <v>0</v>
      </c>
      <c r="AT101" s="369"/>
      <c r="AU101" s="365">
        <f>IF(INDEX(Таблицы!AK378:AK396,Таблицы!Y379,1)&lt;Таблицы!AT390/100,0,INDEX(Таблицы!AK378:AK396,Таблицы!Y379,1)-Таблицы!AT390/100)</f>
        <v>0</v>
      </c>
      <c r="AV101" s="365"/>
      <c r="AW101" s="366"/>
      <c r="AX101" s="360"/>
      <c r="AY101" s="361"/>
      <c r="AZ101" s="224">
        <v>7</v>
      </c>
      <c r="BA101" s="224"/>
      <c r="BB101" s="224">
        <v>8</v>
      </c>
      <c r="BC101" s="224"/>
      <c r="BD101" s="13"/>
      <c r="BE101" s="324"/>
      <c r="BF101" s="325"/>
      <c r="BG101" s="325"/>
      <c r="BH101" s="325"/>
      <c r="BI101" s="325"/>
      <c r="BJ101" s="325"/>
      <c r="BK101" s="325"/>
      <c r="BL101" s="325"/>
      <c r="BM101" s="325"/>
      <c r="BN101" s="325"/>
      <c r="BO101" s="325"/>
      <c r="BP101" s="326"/>
      <c r="BQ101" s="29"/>
    </row>
    <row r="102" spans="1:69" ht="7.5" customHeight="1">
      <c r="A102" s="19"/>
      <c r="B102" s="172"/>
      <c r="C102" s="172"/>
      <c r="D102" s="172"/>
      <c r="E102" s="172"/>
      <c r="F102" s="172"/>
      <c r="G102" s="172"/>
      <c r="H102" s="172"/>
      <c r="I102" s="172"/>
      <c r="J102" s="49"/>
      <c r="K102" s="378"/>
      <c r="L102" s="378"/>
      <c r="M102" s="378"/>
      <c r="N102" s="378"/>
      <c r="O102" s="378"/>
      <c r="P102" s="378"/>
      <c r="Q102" s="387"/>
      <c r="R102" s="369"/>
      <c r="S102" s="367"/>
      <c r="T102" s="367"/>
      <c r="U102" s="368"/>
      <c r="V102" s="274"/>
      <c r="W102" s="386"/>
      <c r="X102" s="381"/>
      <c r="Y102" s="381"/>
      <c r="Z102" s="382"/>
      <c r="AA102" s="298"/>
      <c r="AB102" s="369"/>
      <c r="AC102" s="367"/>
      <c r="AD102" s="367"/>
      <c r="AE102" s="368"/>
      <c r="AF102" s="360"/>
      <c r="AG102" s="361"/>
      <c r="AH102" s="224"/>
      <c r="AI102" s="224"/>
      <c r="AJ102" s="224"/>
      <c r="AK102" s="224"/>
      <c r="AL102" s="13"/>
      <c r="AM102" s="378"/>
      <c r="AN102" s="378"/>
      <c r="AO102" s="378"/>
      <c r="AP102" s="378"/>
      <c r="AQ102" s="378"/>
      <c r="AR102" s="378"/>
      <c r="AS102" s="298"/>
      <c r="AT102" s="369"/>
      <c r="AU102" s="367"/>
      <c r="AV102" s="367"/>
      <c r="AW102" s="368"/>
      <c r="AX102" s="360"/>
      <c r="AY102" s="361"/>
      <c r="AZ102" s="224"/>
      <c r="BA102" s="224"/>
      <c r="BB102" s="224"/>
      <c r="BC102" s="224"/>
      <c r="BD102" s="13"/>
      <c r="BE102" s="395"/>
      <c r="BF102" s="395"/>
      <c r="BG102" s="395"/>
      <c r="BH102" s="395"/>
      <c r="BI102" s="395"/>
      <c r="BJ102" s="395"/>
      <c r="BK102" s="395"/>
      <c r="BL102" s="395"/>
      <c r="BM102" s="395"/>
      <c r="BN102" s="395"/>
      <c r="BO102" s="395"/>
      <c r="BP102" s="395"/>
      <c r="BQ102" s="29"/>
    </row>
    <row r="103" spans="1:69" ht="7.5" customHeight="1">
      <c r="A103" s="19"/>
      <c r="B103" s="228">
        <f>B95+B99</f>
        <v>5</v>
      </c>
      <c r="C103" s="228"/>
      <c r="D103" s="228"/>
      <c r="E103" s="228"/>
      <c r="F103" s="228"/>
      <c r="G103" s="228"/>
      <c r="H103" s="228"/>
      <c r="I103" s="228"/>
      <c r="J103" s="58"/>
      <c r="K103" s="378" t="s">
        <v>106</v>
      </c>
      <c r="L103" s="378"/>
      <c r="M103" s="378"/>
      <c r="N103" s="378"/>
      <c r="O103" s="378"/>
      <c r="P103" s="378"/>
      <c r="Q103" s="387">
        <f>IF(INDEX(Таблицы!AL332:AL375,Таблицы!Y333,1)="",0,INDEX(Таблицы!AL332:AL375,Таблицы!Y333,1))+INDEX(Таблицы!AD2:AD10,Таблицы!F1,1)+IF(AND(Таблицы!F1=8,OR(Таблицы!F84=26,Таблицы!F85=26)),5,0)</f>
        <v>0</v>
      </c>
      <c r="R103" s="369"/>
      <c r="S103" s="365">
        <f>IF(INDEX(Таблицы!AM332:AM375,Таблицы!Y333,1)&lt;Таблицы!AU344/100,0,INDEX(Таблицы!AM332:AM375,Таблицы!Y333,1)-Таблицы!AU344/100)+INDEX(Таблицы!AE2:AE10,Таблицы!F1,1)</f>
        <v>0</v>
      </c>
      <c r="T103" s="365"/>
      <c r="U103" s="366"/>
      <c r="V103" s="274"/>
      <c r="W103" s="386"/>
      <c r="X103" s="379"/>
      <c r="Y103" s="379"/>
      <c r="Z103" s="380"/>
      <c r="AA103" s="298">
        <f>Q103+V103</f>
        <v>0</v>
      </c>
      <c r="AB103" s="369"/>
      <c r="AC103" s="365">
        <f>IF(S103+X103&lt;0,0,S103+X103)</f>
        <v>0</v>
      </c>
      <c r="AD103" s="365"/>
      <c r="AE103" s="366"/>
      <c r="AF103" s="360"/>
      <c r="AG103" s="361"/>
      <c r="AH103" s="224">
        <v>9</v>
      </c>
      <c r="AI103" s="224"/>
      <c r="AJ103" s="224">
        <v>10</v>
      </c>
      <c r="AK103" s="224"/>
      <c r="AL103" s="13"/>
      <c r="AM103" s="378" t="s">
        <v>106</v>
      </c>
      <c r="AN103" s="378"/>
      <c r="AO103" s="378"/>
      <c r="AP103" s="378"/>
      <c r="AQ103" s="378"/>
      <c r="AR103" s="378"/>
      <c r="AS103" s="298" t="s">
        <v>285</v>
      </c>
      <c r="AT103" s="369"/>
      <c r="AU103" s="365" t="s">
        <v>285</v>
      </c>
      <c r="AV103" s="365"/>
      <c r="AW103" s="366"/>
      <c r="AX103" s="360"/>
      <c r="AY103" s="361"/>
      <c r="AZ103" s="224">
        <v>9</v>
      </c>
      <c r="BA103" s="224"/>
      <c r="BB103" s="224">
        <v>10</v>
      </c>
      <c r="BC103" s="224"/>
      <c r="BD103" s="13"/>
      <c r="BE103" s="261"/>
      <c r="BF103" s="261"/>
      <c r="BG103" s="261"/>
      <c r="BH103" s="261"/>
      <c r="BI103" s="261"/>
      <c r="BJ103" s="261"/>
      <c r="BK103" s="261"/>
      <c r="BL103" s="261"/>
      <c r="BM103" s="261"/>
      <c r="BN103" s="261"/>
      <c r="BO103" s="261"/>
      <c r="BP103" s="261"/>
      <c r="BQ103" s="29"/>
    </row>
    <row r="104" spans="1:69" ht="7.5" customHeight="1">
      <c r="A104" s="19"/>
      <c r="B104" s="228"/>
      <c r="C104" s="228"/>
      <c r="D104" s="228"/>
      <c r="E104" s="228"/>
      <c r="F104" s="228"/>
      <c r="G104" s="228"/>
      <c r="H104" s="228"/>
      <c r="I104" s="228"/>
      <c r="J104" s="26"/>
      <c r="K104" s="378"/>
      <c r="L104" s="378"/>
      <c r="M104" s="378"/>
      <c r="N104" s="378"/>
      <c r="O104" s="378"/>
      <c r="P104" s="378"/>
      <c r="Q104" s="387"/>
      <c r="R104" s="369"/>
      <c r="S104" s="367"/>
      <c r="T104" s="367"/>
      <c r="U104" s="368"/>
      <c r="V104" s="274"/>
      <c r="W104" s="386"/>
      <c r="X104" s="381"/>
      <c r="Y104" s="381"/>
      <c r="Z104" s="382"/>
      <c r="AA104" s="298"/>
      <c r="AB104" s="369"/>
      <c r="AC104" s="367"/>
      <c r="AD104" s="367"/>
      <c r="AE104" s="368"/>
      <c r="AF104" s="362"/>
      <c r="AG104" s="363"/>
      <c r="AH104" s="224"/>
      <c r="AI104" s="224"/>
      <c r="AJ104" s="224"/>
      <c r="AK104" s="224"/>
      <c r="AL104" s="13"/>
      <c r="AM104" s="378"/>
      <c r="AN104" s="378"/>
      <c r="AO104" s="378"/>
      <c r="AP104" s="378"/>
      <c r="AQ104" s="378"/>
      <c r="AR104" s="378"/>
      <c r="AS104" s="298"/>
      <c r="AT104" s="369"/>
      <c r="AU104" s="367"/>
      <c r="AV104" s="367"/>
      <c r="AW104" s="368"/>
      <c r="AX104" s="362"/>
      <c r="AY104" s="363"/>
      <c r="AZ104" s="224"/>
      <c r="BA104" s="224"/>
      <c r="BB104" s="224"/>
      <c r="BC104" s="224"/>
      <c r="BD104" s="13"/>
      <c r="BE104" s="261"/>
      <c r="BF104" s="261"/>
      <c r="BG104" s="261"/>
      <c r="BH104" s="261"/>
      <c r="BI104" s="261"/>
      <c r="BJ104" s="261"/>
      <c r="BK104" s="261"/>
      <c r="BL104" s="261"/>
      <c r="BM104" s="261"/>
      <c r="BN104" s="261"/>
      <c r="BO104" s="261"/>
      <c r="BP104" s="261"/>
      <c r="BQ104" s="29"/>
    </row>
    <row r="105" spans="1:69" ht="7.5" customHeight="1">
      <c r="A105" s="65"/>
      <c r="B105" s="46"/>
      <c r="C105" s="46"/>
      <c r="D105" s="46"/>
      <c r="E105" s="46"/>
      <c r="F105" s="68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261"/>
      <c r="BF105" s="261"/>
      <c r="BG105" s="261"/>
      <c r="BH105" s="261"/>
      <c r="BI105" s="261"/>
      <c r="BJ105" s="261"/>
      <c r="BK105" s="261"/>
      <c r="BL105" s="261"/>
      <c r="BM105" s="261"/>
      <c r="BN105" s="261"/>
      <c r="BO105" s="261"/>
      <c r="BP105" s="261"/>
      <c r="BQ105" s="29"/>
    </row>
    <row r="106" spans="1:69" ht="7.5" customHeight="1" thickBot="1">
      <c r="A106" s="19"/>
      <c r="B106" s="13"/>
      <c r="C106" s="13"/>
      <c r="D106" s="13"/>
      <c r="E106" s="13"/>
      <c r="F106" s="35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261"/>
      <c r="BF106" s="261"/>
      <c r="BG106" s="261"/>
      <c r="BH106" s="261"/>
      <c r="BI106" s="261"/>
      <c r="BJ106" s="261"/>
      <c r="BK106" s="261"/>
      <c r="BL106" s="261"/>
      <c r="BM106" s="261"/>
      <c r="BN106" s="261"/>
      <c r="BO106" s="261"/>
      <c r="BP106" s="261"/>
      <c r="BQ106" s="29"/>
    </row>
    <row r="107" spans="1:69" ht="7.5" customHeight="1">
      <c r="A107" s="19"/>
      <c r="B107" s="370" t="s">
        <v>301</v>
      </c>
      <c r="C107" s="371"/>
      <c r="D107" s="371"/>
      <c r="E107" s="371"/>
      <c r="F107" s="371"/>
      <c r="G107" s="371"/>
      <c r="H107" s="371"/>
      <c r="I107" s="371"/>
      <c r="J107" s="371"/>
      <c r="K107" s="371"/>
      <c r="L107" s="371"/>
      <c r="M107" s="371"/>
      <c r="N107" s="371"/>
      <c r="O107" s="371"/>
      <c r="P107" s="371"/>
      <c r="Q107" s="371"/>
      <c r="R107" s="371"/>
      <c r="S107" s="371"/>
      <c r="T107" s="371"/>
      <c r="U107" s="371"/>
      <c r="V107" s="371"/>
      <c r="W107" s="371"/>
      <c r="X107" s="371"/>
      <c r="Y107" s="371"/>
      <c r="Z107" s="371"/>
      <c r="AA107" s="371"/>
      <c r="AB107" s="371"/>
      <c r="AC107" s="371"/>
      <c r="AD107" s="371"/>
      <c r="AE107" s="371"/>
      <c r="AF107" s="371"/>
      <c r="AG107" s="371"/>
      <c r="AH107" s="371"/>
      <c r="AI107" s="371"/>
      <c r="AJ107" s="371"/>
      <c r="AK107" s="371"/>
      <c r="AL107" s="371"/>
      <c r="AM107" s="371"/>
      <c r="AN107" s="371"/>
      <c r="AO107" s="371"/>
      <c r="AP107" s="371"/>
      <c r="AQ107" s="371"/>
      <c r="AR107" s="371"/>
      <c r="AS107" s="371"/>
      <c r="AT107" s="371"/>
      <c r="AU107" s="371"/>
      <c r="AV107" s="371"/>
      <c r="AW107" s="371"/>
      <c r="AX107" s="371"/>
      <c r="AY107" s="371"/>
      <c r="AZ107" s="371"/>
      <c r="BA107" s="371"/>
      <c r="BB107" s="371"/>
      <c r="BC107" s="372"/>
      <c r="BD107" s="13"/>
      <c r="BE107" s="261"/>
      <c r="BF107" s="261"/>
      <c r="BG107" s="261"/>
      <c r="BH107" s="261"/>
      <c r="BI107" s="261"/>
      <c r="BJ107" s="261"/>
      <c r="BK107" s="261"/>
      <c r="BL107" s="261"/>
      <c r="BM107" s="261"/>
      <c r="BN107" s="261"/>
      <c r="BO107" s="261"/>
      <c r="BP107" s="261"/>
      <c r="BQ107" s="29"/>
    </row>
    <row r="108" spans="1:69" ht="7.5" customHeight="1">
      <c r="A108" s="19"/>
      <c r="B108" s="392"/>
      <c r="C108" s="393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3"/>
      <c r="V108" s="393"/>
      <c r="W108" s="393"/>
      <c r="X108" s="393"/>
      <c r="Y108" s="393"/>
      <c r="Z108" s="393"/>
      <c r="AA108" s="393"/>
      <c r="AB108" s="393"/>
      <c r="AC108" s="393"/>
      <c r="AD108" s="393"/>
      <c r="AE108" s="393"/>
      <c r="AF108" s="393"/>
      <c r="AG108" s="393"/>
      <c r="AH108" s="393"/>
      <c r="AI108" s="393"/>
      <c r="AJ108" s="393"/>
      <c r="AK108" s="393"/>
      <c r="AL108" s="393"/>
      <c r="AM108" s="393"/>
      <c r="AN108" s="393"/>
      <c r="AO108" s="393"/>
      <c r="AP108" s="393"/>
      <c r="AQ108" s="393"/>
      <c r="AR108" s="393"/>
      <c r="AS108" s="393"/>
      <c r="AT108" s="393"/>
      <c r="AU108" s="393"/>
      <c r="AV108" s="393"/>
      <c r="AW108" s="393"/>
      <c r="AX108" s="393"/>
      <c r="AY108" s="393"/>
      <c r="AZ108" s="393"/>
      <c r="BA108" s="393"/>
      <c r="BB108" s="393"/>
      <c r="BC108" s="394"/>
      <c r="BD108" s="13"/>
      <c r="BE108" s="261"/>
      <c r="BF108" s="261"/>
      <c r="BG108" s="261"/>
      <c r="BH108" s="261"/>
      <c r="BI108" s="261"/>
      <c r="BJ108" s="261"/>
      <c r="BK108" s="261"/>
      <c r="BL108" s="261"/>
      <c r="BM108" s="261"/>
      <c r="BN108" s="261"/>
      <c r="BO108" s="261"/>
      <c r="BP108" s="261"/>
      <c r="BQ108" s="29"/>
    </row>
    <row r="109" spans="1:69" ht="7.5" customHeight="1">
      <c r="A109" s="19"/>
      <c r="B109" s="336" t="s">
        <v>303</v>
      </c>
      <c r="C109" s="334" t="s">
        <v>304</v>
      </c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88" t="s">
        <v>98</v>
      </c>
      <c r="R109" s="388"/>
      <c r="S109" s="388"/>
      <c r="T109" s="388" t="s">
        <v>229</v>
      </c>
      <c r="U109" s="388"/>
      <c r="V109" s="388"/>
      <c r="W109" s="388" t="s">
        <v>302</v>
      </c>
      <c r="X109" s="388"/>
      <c r="Y109" s="388"/>
      <c r="Z109" s="388" t="s">
        <v>70</v>
      </c>
      <c r="AA109" s="388"/>
      <c r="AB109" s="388"/>
      <c r="AC109" s="334" t="s">
        <v>303</v>
      </c>
      <c r="AD109" s="334" t="s">
        <v>304</v>
      </c>
      <c r="AE109" s="334"/>
      <c r="AF109" s="334"/>
      <c r="AG109" s="334"/>
      <c r="AH109" s="334"/>
      <c r="AI109" s="334"/>
      <c r="AJ109" s="334"/>
      <c r="AK109" s="334"/>
      <c r="AL109" s="334"/>
      <c r="AM109" s="334"/>
      <c r="AN109" s="334"/>
      <c r="AO109" s="334"/>
      <c r="AP109" s="334"/>
      <c r="AQ109" s="334"/>
      <c r="AR109" s="388" t="s">
        <v>98</v>
      </c>
      <c r="AS109" s="388"/>
      <c r="AT109" s="388"/>
      <c r="AU109" s="388" t="s">
        <v>229</v>
      </c>
      <c r="AV109" s="388"/>
      <c r="AW109" s="388"/>
      <c r="AX109" s="388" t="s">
        <v>302</v>
      </c>
      <c r="AY109" s="388"/>
      <c r="AZ109" s="388"/>
      <c r="BA109" s="388" t="s">
        <v>70</v>
      </c>
      <c r="BB109" s="388"/>
      <c r="BC109" s="390"/>
      <c r="BD109" s="13"/>
      <c r="BE109" s="261"/>
      <c r="BF109" s="261"/>
      <c r="BG109" s="261"/>
      <c r="BH109" s="261"/>
      <c r="BI109" s="261"/>
      <c r="BJ109" s="261"/>
      <c r="BK109" s="261"/>
      <c r="BL109" s="261"/>
      <c r="BM109" s="261"/>
      <c r="BN109" s="261"/>
      <c r="BO109" s="261"/>
      <c r="BP109" s="261"/>
      <c r="BQ109" s="29"/>
    </row>
    <row r="110" spans="1:69" ht="7.5" customHeight="1" thickBot="1">
      <c r="A110" s="19"/>
      <c r="B110" s="337"/>
      <c r="C110" s="335"/>
      <c r="D110" s="335"/>
      <c r="E110" s="335"/>
      <c r="F110" s="335"/>
      <c r="G110" s="335"/>
      <c r="H110" s="335"/>
      <c r="I110" s="335"/>
      <c r="J110" s="335"/>
      <c r="K110" s="335"/>
      <c r="L110" s="335"/>
      <c r="M110" s="335"/>
      <c r="N110" s="335"/>
      <c r="O110" s="335"/>
      <c r="P110" s="335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35"/>
      <c r="AD110" s="335"/>
      <c r="AE110" s="335"/>
      <c r="AF110" s="335"/>
      <c r="AG110" s="335"/>
      <c r="AH110" s="335"/>
      <c r="AI110" s="335"/>
      <c r="AJ110" s="335"/>
      <c r="AK110" s="335"/>
      <c r="AL110" s="335"/>
      <c r="AM110" s="335"/>
      <c r="AN110" s="335"/>
      <c r="AO110" s="335"/>
      <c r="AP110" s="335"/>
      <c r="AQ110" s="335"/>
      <c r="AR110" s="389"/>
      <c r="AS110" s="389"/>
      <c r="AT110" s="389"/>
      <c r="AU110" s="389"/>
      <c r="AV110" s="389"/>
      <c r="AW110" s="389"/>
      <c r="AX110" s="389"/>
      <c r="AY110" s="389"/>
      <c r="AZ110" s="389"/>
      <c r="BA110" s="389"/>
      <c r="BB110" s="389"/>
      <c r="BC110" s="391"/>
      <c r="BD110" s="13"/>
      <c r="BE110" s="261"/>
      <c r="BF110" s="261"/>
      <c r="BG110" s="261"/>
      <c r="BH110" s="261"/>
      <c r="BI110" s="261"/>
      <c r="BJ110" s="261"/>
      <c r="BK110" s="261"/>
      <c r="BL110" s="261"/>
      <c r="BM110" s="261"/>
      <c r="BN110" s="261"/>
      <c r="BO110" s="261"/>
      <c r="BP110" s="261"/>
      <c r="BQ110" s="29"/>
    </row>
    <row r="111" spans="1:69" ht="7.5" customHeight="1">
      <c r="A111" s="19"/>
      <c r="B111" s="308">
        <v>1</v>
      </c>
      <c r="C111" s="499"/>
      <c r="D111" s="499"/>
      <c r="E111" s="499"/>
      <c r="F111" s="499"/>
      <c r="G111" s="499"/>
      <c r="H111" s="499"/>
      <c r="I111" s="499"/>
      <c r="J111" s="499"/>
      <c r="K111" s="499"/>
      <c r="L111" s="499"/>
      <c r="M111" s="499"/>
      <c r="N111" s="499"/>
      <c r="O111" s="499"/>
      <c r="P111" s="499"/>
      <c r="Q111" s="500"/>
      <c r="R111" s="500"/>
      <c r="S111" s="500"/>
      <c r="T111" s="299">
        <f>IF(INDEX(Таблицы!AA398:AA462,Таблицы!Y406,1)="",0,INDEX(Таблицы!AA398:AA462,Таблицы!Y406,1))</f>
        <v>0</v>
      </c>
      <c r="U111" s="299"/>
      <c r="V111" s="299"/>
      <c r="W111" s="299">
        <f>IF(AK39&lt;30,T111*3,IF(AK39&lt;126,T111*2+T111*(100-AK39)/100,T111*(AK39-100)/100))</f>
        <v>0</v>
      </c>
      <c r="X111" s="299"/>
      <c r="Y111" s="299"/>
      <c r="Z111" s="299">
        <f>IF(INDEX(Таблицы!AB398:AB462,Таблицы!Y406,1)="",0,INDEX(Таблицы!AB398:AB462,Таблицы!Y406,1))*Q111</f>
        <v>0</v>
      </c>
      <c r="AA111" s="299"/>
      <c r="AB111" s="299"/>
      <c r="AC111" s="307">
        <v>8</v>
      </c>
      <c r="AD111" s="309"/>
      <c r="AE111" s="310"/>
      <c r="AF111" s="310"/>
      <c r="AG111" s="310"/>
      <c r="AH111" s="310"/>
      <c r="AI111" s="310"/>
      <c r="AJ111" s="310"/>
      <c r="AK111" s="310"/>
      <c r="AL111" s="310"/>
      <c r="AM111" s="310"/>
      <c r="AN111" s="310"/>
      <c r="AO111" s="310"/>
      <c r="AP111" s="310"/>
      <c r="AQ111" s="311"/>
      <c r="AR111" s="315"/>
      <c r="AS111" s="316"/>
      <c r="AT111" s="317"/>
      <c r="AU111" s="299">
        <f>IF(INDEX(Таблицы!AA398:AA462,Таблицы!Y413,1)="",0,INDEX(Таблицы!AA398:AA462,Таблицы!Y413,1))</f>
        <v>0</v>
      </c>
      <c r="AV111" s="299"/>
      <c r="AW111" s="299"/>
      <c r="AX111" s="301">
        <f>IF(BL39&lt;30,AU111*3,IF(BL39&lt;126,AU111*2+AU111*(100-BL39)/100,AU111*(BL39-100)/100))</f>
        <v>0</v>
      </c>
      <c r="AY111" s="302"/>
      <c r="AZ111" s="303"/>
      <c r="BA111" s="299">
        <f>IF(INDEX(Таблицы!AB398:AB462,Таблицы!Y413,1)="",0,INDEX(Таблицы!AB398:AB462,Таблицы!Y413,1))*AR111</f>
        <v>0</v>
      </c>
      <c r="BB111" s="299"/>
      <c r="BC111" s="299"/>
      <c r="BD111" s="13"/>
      <c r="BE111" s="261"/>
      <c r="BF111" s="261"/>
      <c r="BG111" s="261"/>
      <c r="BH111" s="261"/>
      <c r="BI111" s="261"/>
      <c r="BJ111" s="261"/>
      <c r="BK111" s="261"/>
      <c r="BL111" s="261"/>
      <c r="BM111" s="261"/>
      <c r="BN111" s="261"/>
      <c r="BO111" s="261"/>
      <c r="BP111" s="261"/>
      <c r="BQ111" s="29"/>
    </row>
    <row r="112" spans="1:69" ht="7.5" customHeight="1">
      <c r="A112" s="19"/>
      <c r="B112" s="332"/>
      <c r="C112" s="333"/>
      <c r="D112" s="333"/>
      <c r="E112" s="333"/>
      <c r="F112" s="333"/>
      <c r="G112" s="333"/>
      <c r="H112" s="333"/>
      <c r="I112" s="333"/>
      <c r="J112" s="333"/>
      <c r="K112" s="333"/>
      <c r="L112" s="333"/>
      <c r="M112" s="333"/>
      <c r="N112" s="333"/>
      <c r="O112" s="333"/>
      <c r="P112" s="333"/>
      <c r="Q112" s="331"/>
      <c r="R112" s="331"/>
      <c r="S112" s="331"/>
      <c r="T112" s="300"/>
      <c r="U112" s="300"/>
      <c r="V112" s="300"/>
      <c r="W112" s="300"/>
      <c r="X112" s="300"/>
      <c r="Y112" s="300"/>
      <c r="Z112" s="300"/>
      <c r="AA112" s="300"/>
      <c r="AB112" s="300"/>
      <c r="AC112" s="307"/>
      <c r="AD112" s="309"/>
      <c r="AE112" s="310"/>
      <c r="AF112" s="310"/>
      <c r="AG112" s="310"/>
      <c r="AH112" s="310"/>
      <c r="AI112" s="310"/>
      <c r="AJ112" s="310"/>
      <c r="AK112" s="310"/>
      <c r="AL112" s="310"/>
      <c r="AM112" s="310"/>
      <c r="AN112" s="310"/>
      <c r="AO112" s="310"/>
      <c r="AP112" s="310"/>
      <c r="AQ112" s="311"/>
      <c r="AR112" s="315"/>
      <c r="AS112" s="316"/>
      <c r="AT112" s="317"/>
      <c r="AU112" s="300"/>
      <c r="AV112" s="300"/>
      <c r="AW112" s="300"/>
      <c r="AX112" s="301"/>
      <c r="AY112" s="302"/>
      <c r="AZ112" s="303"/>
      <c r="BA112" s="300"/>
      <c r="BB112" s="300"/>
      <c r="BC112" s="300"/>
      <c r="BD112" s="13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29"/>
    </row>
    <row r="113" spans="1:69" ht="7.5" customHeight="1" thickBot="1">
      <c r="A113" s="19"/>
      <c r="B113" s="332"/>
      <c r="C113" s="333"/>
      <c r="D113" s="333"/>
      <c r="E113" s="333"/>
      <c r="F113" s="333"/>
      <c r="G113" s="333"/>
      <c r="H113" s="333"/>
      <c r="I113" s="333"/>
      <c r="J113" s="333"/>
      <c r="K113" s="333"/>
      <c r="L113" s="333"/>
      <c r="M113" s="333"/>
      <c r="N113" s="333"/>
      <c r="O113" s="333"/>
      <c r="P113" s="333"/>
      <c r="Q113" s="331"/>
      <c r="R113" s="331"/>
      <c r="S113" s="331"/>
      <c r="T113" s="300"/>
      <c r="U113" s="300"/>
      <c r="V113" s="300"/>
      <c r="W113" s="300"/>
      <c r="X113" s="300"/>
      <c r="Y113" s="300"/>
      <c r="Z113" s="300"/>
      <c r="AA113" s="300"/>
      <c r="AB113" s="300"/>
      <c r="AC113" s="308"/>
      <c r="AD113" s="312"/>
      <c r="AE113" s="313"/>
      <c r="AF113" s="313"/>
      <c r="AG113" s="313"/>
      <c r="AH113" s="313"/>
      <c r="AI113" s="313"/>
      <c r="AJ113" s="313"/>
      <c r="AK113" s="313"/>
      <c r="AL113" s="313"/>
      <c r="AM113" s="313"/>
      <c r="AN113" s="313"/>
      <c r="AO113" s="313"/>
      <c r="AP113" s="313"/>
      <c r="AQ113" s="314"/>
      <c r="AR113" s="318"/>
      <c r="AS113" s="319"/>
      <c r="AT113" s="320"/>
      <c r="AU113" s="300"/>
      <c r="AV113" s="300"/>
      <c r="AW113" s="300"/>
      <c r="AX113" s="304"/>
      <c r="AY113" s="305"/>
      <c r="AZ113" s="306"/>
      <c r="BA113" s="300"/>
      <c r="BB113" s="300"/>
      <c r="BC113" s="300"/>
      <c r="BD113" s="13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29"/>
    </row>
    <row r="114" spans="1:69" ht="7.5" customHeight="1">
      <c r="A114" s="19"/>
      <c r="B114" s="332">
        <v>2</v>
      </c>
      <c r="C114" s="333"/>
      <c r="D114" s="333"/>
      <c r="E114" s="333"/>
      <c r="F114" s="333"/>
      <c r="G114" s="333"/>
      <c r="H114" s="333"/>
      <c r="I114" s="333"/>
      <c r="J114" s="333"/>
      <c r="K114" s="333"/>
      <c r="L114" s="333"/>
      <c r="M114" s="333"/>
      <c r="N114" s="333"/>
      <c r="O114" s="333"/>
      <c r="P114" s="333"/>
      <c r="Q114" s="331"/>
      <c r="R114" s="331"/>
      <c r="S114" s="331"/>
      <c r="T114" s="299">
        <f>IF(INDEX(Таблицы!AA398:AA462,Таблицы!Y407,1)="",0,INDEX(Таблицы!AA398:AA462,Таблицы!Y407,1))</f>
        <v>0</v>
      </c>
      <c r="U114" s="299"/>
      <c r="V114" s="299"/>
      <c r="W114" s="300">
        <f>IF(AK39&lt;30,T114*3,IF(AK39&lt;126,T114*2+T114*(100-AK39)/100,T114*(AK39-100)/100))</f>
        <v>0</v>
      </c>
      <c r="X114" s="300"/>
      <c r="Y114" s="300"/>
      <c r="Z114" s="299">
        <f>IF(INDEX(Таблицы!AB398:AB462,Таблицы!Y407,1)="",0,INDEX(Таблицы!AB398:AB462,Таблицы!Y407,1))*Q114</f>
        <v>0</v>
      </c>
      <c r="AA114" s="299"/>
      <c r="AB114" s="299"/>
      <c r="AC114" s="273">
        <v>9</v>
      </c>
      <c r="AD114" s="272"/>
      <c r="AE114" s="272"/>
      <c r="AF114" s="272"/>
      <c r="AG114" s="272"/>
      <c r="AH114" s="272"/>
      <c r="AI114" s="272"/>
      <c r="AJ114" s="272"/>
      <c r="AK114" s="272"/>
      <c r="AL114" s="272"/>
      <c r="AM114" s="272"/>
      <c r="AN114" s="272"/>
      <c r="AO114" s="272"/>
      <c r="AP114" s="272"/>
      <c r="AQ114" s="272"/>
      <c r="AR114" s="274"/>
      <c r="AS114" s="274"/>
      <c r="AT114" s="274"/>
      <c r="AU114" s="274"/>
      <c r="AV114" s="274"/>
      <c r="AW114" s="274"/>
      <c r="AX114" s="298">
        <f>IF(BL39&lt;30,AU114*3,IF(BL39&lt;126,AU114*2+AU114*(100-BL39)/100,AU114*(BL39-100)/100))</f>
        <v>0</v>
      </c>
      <c r="AY114" s="298"/>
      <c r="AZ114" s="298"/>
      <c r="BA114" s="274"/>
      <c r="BB114" s="274"/>
      <c r="BC114" s="274"/>
      <c r="BD114" s="13"/>
      <c r="BE114" s="321" t="s">
        <v>326</v>
      </c>
      <c r="BF114" s="322"/>
      <c r="BG114" s="322"/>
      <c r="BH114" s="322"/>
      <c r="BI114" s="322"/>
      <c r="BJ114" s="322"/>
      <c r="BK114" s="322"/>
      <c r="BL114" s="322"/>
      <c r="BM114" s="322"/>
      <c r="BN114" s="322"/>
      <c r="BO114" s="322"/>
      <c r="BP114" s="323"/>
      <c r="BQ114" s="29"/>
    </row>
    <row r="115" spans="1:69" ht="7.5" customHeight="1" thickBot="1">
      <c r="A115" s="19"/>
      <c r="B115" s="332"/>
      <c r="C115" s="333"/>
      <c r="D115" s="333"/>
      <c r="E115" s="333"/>
      <c r="F115" s="333"/>
      <c r="G115" s="333"/>
      <c r="H115" s="333"/>
      <c r="I115" s="333"/>
      <c r="J115" s="333"/>
      <c r="K115" s="333"/>
      <c r="L115" s="333"/>
      <c r="M115" s="333"/>
      <c r="N115" s="333"/>
      <c r="O115" s="333"/>
      <c r="P115" s="333"/>
      <c r="Q115" s="331"/>
      <c r="R115" s="331"/>
      <c r="S115" s="331"/>
      <c r="T115" s="300"/>
      <c r="U115" s="300"/>
      <c r="V115" s="300"/>
      <c r="W115" s="300"/>
      <c r="X115" s="300"/>
      <c r="Y115" s="300"/>
      <c r="Z115" s="300"/>
      <c r="AA115" s="300"/>
      <c r="AB115" s="300"/>
      <c r="AC115" s="273"/>
      <c r="AD115" s="272"/>
      <c r="AE115" s="272"/>
      <c r="AF115" s="272"/>
      <c r="AG115" s="272"/>
      <c r="AH115" s="272"/>
      <c r="AI115" s="272"/>
      <c r="AJ115" s="272"/>
      <c r="AK115" s="272"/>
      <c r="AL115" s="272"/>
      <c r="AM115" s="272"/>
      <c r="AN115" s="272"/>
      <c r="AO115" s="272"/>
      <c r="AP115" s="272"/>
      <c r="AQ115" s="272"/>
      <c r="AR115" s="274"/>
      <c r="AS115" s="274"/>
      <c r="AT115" s="274"/>
      <c r="AU115" s="274"/>
      <c r="AV115" s="274"/>
      <c r="AW115" s="274"/>
      <c r="AX115" s="298"/>
      <c r="AY115" s="298"/>
      <c r="AZ115" s="298"/>
      <c r="BA115" s="274"/>
      <c r="BB115" s="274"/>
      <c r="BC115" s="274"/>
      <c r="BD115" s="13"/>
      <c r="BE115" s="324"/>
      <c r="BF115" s="325"/>
      <c r="BG115" s="325"/>
      <c r="BH115" s="325"/>
      <c r="BI115" s="325"/>
      <c r="BJ115" s="325"/>
      <c r="BK115" s="325"/>
      <c r="BL115" s="325"/>
      <c r="BM115" s="325"/>
      <c r="BN115" s="325"/>
      <c r="BO115" s="325"/>
      <c r="BP115" s="326"/>
      <c r="BQ115" s="29"/>
    </row>
    <row r="116" spans="1:69" ht="7.5" customHeight="1">
      <c r="A116" s="19"/>
      <c r="B116" s="332"/>
      <c r="C116" s="333"/>
      <c r="D116" s="333"/>
      <c r="E116" s="333"/>
      <c r="F116" s="333"/>
      <c r="G116" s="333"/>
      <c r="H116" s="333"/>
      <c r="I116" s="333"/>
      <c r="J116" s="333"/>
      <c r="K116" s="333"/>
      <c r="L116" s="333"/>
      <c r="M116" s="333"/>
      <c r="N116" s="333"/>
      <c r="O116" s="333"/>
      <c r="P116" s="333"/>
      <c r="Q116" s="331"/>
      <c r="R116" s="331"/>
      <c r="S116" s="331"/>
      <c r="T116" s="300"/>
      <c r="U116" s="300"/>
      <c r="V116" s="300"/>
      <c r="W116" s="300"/>
      <c r="X116" s="300"/>
      <c r="Y116" s="300"/>
      <c r="Z116" s="300"/>
      <c r="AA116" s="300"/>
      <c r="AB116" s="300"/>
      <c r="AC116" s="273">
        <v>10</v>
      </c>
      <c r="AD116" s="272"/>
      <c r="AE116" s="272"/>
      <c r="AF116" s="272"/>
      <c r="AG116" s="272"/>
      <c r="AH116" s="272"/>
      <c r="AI116" s="272"/>
      <c r="AJ116" s="272"/>
      <c r="AK116" s="272"/>
      <c r="AL116" s="272"/>
      <c r="AM116" s="272"/>
      <c r="AN116" s="272"/>
      <c r="AO116" s="272"/>
      <c r="AP116" s="272"/>
      <c r="AQ116" s="272"/>
      <c r="AR116" s="274"/>
      <c r="AS116" s="274"/>
      <c r="AT116" s="274"/>
      <c r="AU116" s="274"/>
      <c r="AV116" s="274"/>
      <c r="AW116" s="274"/>
      <c r="AX116" s="298">
        <f>IF(BL39&lt;30,AU116*3,IF(BL39&lt;126,AU116*2+AU116*(100-BL39)/100,AU116*(BL39-100)/100))</f>
        <v>0</v>
      </c>
      <c r="AY116" s="298"/>
      <c r="AZ116" s="298"/>
      <c r="BA116" s="274"/>
      <c r="BB116" s="274"/>
      <c r="BC116" s="274"/>
      <c r="BD116" s="13"/>
      <c r="BE116" s="261"/>
      <c r="BF116" s="261"/>
      <c r="BG116" s="261"/>
      <c r="BH116" s="261"/>
      <c r="BI116" s="261"/>
      <c r="BJ116" s="261"/>
      <c r="BK116" s="261"/>
      <c r="BL116" s="261"/>
      <c r="BM116" s="261"/>
      <c r="BN116" s="261"/>
      <c r="BO116" s="261"/>
      <c r="BP116" s="261"/>
      <c r="BQ116" s="29"/>
    </row>
    <row r="117" spans="1:69" ht="7.5" customHeight="1">
      <c r="A117" s="19"/>
      <c r="B117" s="332">
        <v>3</v>
      </c>
      <c r="C117" s="333"/>
      <c r="D117" s="333"/>
      <c r="E117" s="333"/>
      <c r="F117" s="333"/>
      <c r="G117" s="333"/>
      <c r="H117" s="333"/>
      <c r="I117" s="333"/>
      <c r="J117" s="333"/>
      <c r="K117" s="333"/>
      <c r="L117" s="333"/>
      <c r="M117" s="333"/>
      <c r="N117" s="333"/>
      <c r="O117" s="333"/>
      <c r="P117" s="333"/>
      <c r="Q117" s="331"/>
      <c r="R117" s="331"/>
      <c r="S117" s="331"/>
      <c r="T117" s="299">
        <f>IF(INDEX(Таблицы!AA398:AA462,Таблицы!Y408,1)="",0,INDEX(Таблицы!AA398:AA462,Таблицы!Y408,1))</f>
        <v>0</v>
      </c>
      <c r="U117" s="299"/>
      <c r="V117" s="299"/>
      <c r="W117" s="300">
        <f>IF(AK39&lt;30,T117*3,IF(AK39&lt;126,T117*2+T117*(100-AK39)/100,T117*(AK39-100)/100))</f>
        <v>0</v>
      </c>
      <c r="X117" s="300"/>
      <c r="Y117" s="300"/>
      <c r="Z117" s="299">
        <f>IF(INDEX(Таблицы!AB398:AB462,Таблицы!Y408,1)="",0,INDEX(Таблицы!AB398:AB462,Таблицы!Y408,1))*Q117</f>
        <v>0</v>
      </c>
      <c r="AA117" s="299"/>
      <c r="AB117" s="299"/>
      <c r="AC117" s="273"/>
      <c r="AD117" s="272"/>
      <c r="AE117" s="272"/>
      <c r="AF117" s="272"/>
      <c r="AG117" s="272"/>
      <c r="AH117" s="272"/>
      <c r="AI117" s="272"/>
      <c r="AJ117" s="272"/>
      <c r="AK117" s="272"/>
      <c r="AL117" s="272"/>
      <c r="AM117" s="272"/>
      <c r="AN117" s="272"/>
      <c r="AO117" s="272"/>
      <c r="AP117" s="272"/>
      <c r="AQ117" s="272"/>
      <c r="AR117" s="274"/>
      <c r="AS117" s="274"/>
      <c r="AT117" s="274"/>
      <c r="AU117" s="274"/>
      <c r="AV117" s="274"/>
      <c r="AW117" s="274"/>
      <c r="AX117" s="298"/>
      <c r="AY117" s="298"/>
      <c r="AZ117" s="298"/>
      <c r="BA117" s="274"/>
      <c r="BB117" s="274"/>
      <c r="BC117" s="274"/>
      <c r="BD117" s="13"/>
      <c r="BE117" s="261"/>
      <c r="BF117" s="261"/>
      <c r="BG117" s="261"/>
      <c r="BH117" s="261"/>
      <c r="BI117" s="261"/>
      <c r="BJ117" s="261"/>
      <c r="BK117" s="261"/>
      <c r="BL117" s="261"/>
      <c r="BM117" s="261"/>
      <c r="BN117" s="261"/>
      <c r="BO117" s="261"/>
      <c r="BP117" s="261"/>
      <c r="BQ117" s="29"/>
    </row>
    <row r="118" spans="1:69" ht="7.5" customHeight="1">
      <c r="A118" s="19"/>
      <c r="B118" s="332"/>
      <c r="C118" s="333"/>
      <c r="D118" s="333"/>
      <c r="E118" s="333"/>
      <c r="F118" s="333"/>
      <c r="G118" s="333"/>
      <c r="H118" s="333"/>
      <c r="I118" s="333"/>
      <c r="J118" s="333"/>
      <c r="K118" s="333"/>
      <c r="L118" s="333"/>
      <c r="M118" s="333"/>
      <c r="N118" s="333"/>
      <c r="O118" s="333"/>
      <c r="P118" s="333"/>
      <c r="Q118" s="331"/>
      <c r="R118" s="331"/>
      <c r="S118" s="331"/>
      <c r="T118" s="300"/>
      <c r="U118" s="300"/>
      <c r="V118" s="300"/>
      <c r="W118" s="300"/>
      <c r="X118" s="300"/>
      <c r="Y118" s="300"/>
      <c r="Z118" s="300"/>
      <c r="AA118" s="300"/>
      <c r="AB118" s="300"/>
      <c r="AC118" s="273">
        <v>11</v>
      </c>
      <c r="AD118" s="272"/>
      <c r="AE118" s="272"/>
      <c r="AF118" s="272"/>
      <c r="AG118" s="272"/>
      <c r="AH118" s="272"/>
      <c r="AI118" s="272"/>
      <c r="AJ118" s="272"/>
      <c r="AK118" s="272"/>
      <c r="AL118" s="272"/>
      <c r="AM118" s="272"/>
      <c r="AN118" s="272"/>
      <c r="AO118" s="272"/>
      <c r="AP118" s="272"/>
      <c r="AQ118" s="272"/>
      <c r="AR118" s="274"/>
      <c r="AS118" s="274"/>
      <c r="AT118" s="274"/>
      <c r="AU118" s="274"/>
      <c r="AV118" s="274"/>
      <c r="AW118" s="274"/>
      <c r="AX118" s="298">
        <f>IF(BL39&lt;30,AU118*3,IF(BL39&lt;126,AU118*2+AU118*(100-BL39)/100,AU118*(BL39-100)/100))</f>
        <v>0</v>
      </c>
      <c r="AY118" s="298"/>
      <c r="AZ118" s="298"/>
      <c r="BA118" s="274"/>
      <c r="BB118" s="274"/>
      <c r="BC118" s="274"/>
      <c r="BD118" s="13"/>
      <c r="BE118" s="261"/>
      <c r="BF118" s="261"/>
      <c r="BG118" s="261"/>
      <c r="BH118" s="261"/>
      <c r="BI118" s="261"/>
      <c r="BJ118" s="261"/>
      <c r="BK118" s="261"/>
      <c r="BL118" s="261"/>
      <c r="BM118" s="261"/>
      <c r="BN118" s="261"/>
      <c r="BO118" s="261"/>
      <c r="BP118" s="261"/>
      <c r="BQ118" s="29"/>
    </row>
    <row r="119" spans="1:69" ht="7.5" customHeight="1">
      <c r="A119" s="19"/>
      <c r="B119" s="332"/>
      <c r="C119" s="333"/>
      <c r="D119" s="333"/>
      <c r="E119" s="333"/>
      <c r="F119" s="333"/>
      <c r="G119" s="333"/>
      <c r="H119" s="333"/>
      <c r="I119" s="333"/>
      <c r="J119" s="333"/>
      <c r="K119" s="333"/>
      <c r="L119" s="333"/>
      <c r="M119" s="333"/>
      <c r="N119" s="333"/>
      <c r="O119" s="333"/>
      <c r="P119" s="333"/>
      <c r="Q119" s="331"/>
      <c r="R119" s="331"/>
      <c r="S119" s="331"/>
      <c r="T119" s="300"/>
      <c r="U119" s="300"/>
      <c r="V119" s="300"/>
      <c r="W119" s="300"/>
      <c r="X119" s="300"/>
      <c r="Y119" s="300"/>
      <c r="Z119" s="300"/>
      <c r="AA119" s="300"/>
      <c r="AB119" s="300"/>
      <c r="AC119" s="273"/>
      <c r="AD119" s="272"/>
      <c r="AE119" s="272"/>
      <c r="AF119" s="272"/>
      <c r="AG119" s="272"/>
      <c r="AH119" s="272"/>
      <c r="AI119" s="272"/>
      <c r="AJ119" s="272"/>
      <c r="AK119" s="272"/>
      <c r="AL119" s="272"/>
      <c r="AM119" s="272"/>
      <c r="AN119" s="272"/>
      <c r="AO119" s="272"/>
      <c r="AP119" s="272"/>
      <c r="AQ119" s="272"/>
      <c r="AR119" s="274"/>
      <c r="AS119" s="274"/>
      <c r="AT119" s="274"/>
      <c r="AU119" s="274"/>
      <c r="AV119" s="274"/>
      <c r="AW119" s="274"/>
      <c r="AX119" s="298"/>
      <c r="AY119" s="298"/>
      <c r="AZ119" s="298"/>
      <c r="BA119" s="274"/>
      <c r="BB119" s="274"/>
      <c r="BC119" s="274"/>
      <c r="BD119" s="13"/>
      <c r="BE119" s="261"/>
      <c r="BF119" s="261"/>
      <c r="BG119" s="261"/>
      <c r="BH119" s="261"/>
      <c r="BI119" s="261"/>
      <c r="BJ119" s="261"/>
      <c r="BK119" s="261"/>
      <c r="BL119" s="261"/>
      <c r="BM119" s="261"/>
      <c r="BN119" s="261"/>
      <c r="BO119" s="261"/>
      <c r="BP119" s="261"/>
      <c r="BQ119" s="29"/>
    </row>
    <row r="120" spans="1:69" ht="7.5" customHeight="1">
      <c r="A120" s="19"/>
      <c r="B120" s="332">
        <v>4</v>
      </c>
      <c r="C120" s="333"/>
      <c r="D120" s="333"/>
      <c r="E120" s="333"/>
      <c r="F120" s="333"/>
      <c r="G120" s="333"/>
      <c r="H120" s="333"/>
      <c r="I120" s="333"/>
      <c r="J120" s="333"/>
      <c r="K120" s="333"/>
      <c r="L120" s="333"/>
      <c r="M120" s="333"/>
      <c r="N120" s="333"/>
      <c r="O120" s="333"/>
      <c r="P120" s="333"/>
      <c r="Q120" s="331"/>
      <c r="R120" s="331"/>
      <c r="S120" s="331"/>
      <c r="T120" s="299">
        <f>IF(INDEX(Таблицы!AA398:AA462,Таблицы!Y409,1)="",0,INDEX(Таблицы!AA398:AA462,Таблицы!Y409,1))</f>
        <v>0</v>
      </c>
      <c r="U120" s="299"/>
      <c r="V120" s="299"/>
      <c r="W120" s="300">
        <f>IF(AK39&lt;30,T120*3,IF(AK39&lt;126,T120*2+T120*(100-AK39)/100,T120*(AK39-100)/100))</f>
        <v>0</v>
      </c>
      <c r="X120" s="300"/>
      <c r="Y120" s="300"/>
      <c r="Z120" s="299">
        <f>IF(INDEX(Таблицы!AB398:AB462,Таблицы!Y409,1)="",0,INDEX(Таблицы!AB398:AB462,Таблицы!Y409,1))*Q120</f>
        <v>0</v>
      </c>
      <c r="AA120" s="299"/>
      <c r="AB120" s="299"/>
      <c r="AC120" s="273">
        <v>12</v>
      </c>
      <c r="AD120" s="272"/>
      <c r="AE120" s="272"/>
      <c r="AF120" s="272"/>
      <c r="AG120" s="272"/>
      <c r="AH120" s="272"/>
      <c r="AI120" s="272"/>
      <c r="AJ120" s="272"/>
      <c r="AK120" s="272"/>
      <c r="AL120" s="272"/>
      <c r="AM120" s="272"/>
      <c r="AN120" s="272"/>
      <c r="AO120" s="272"/>
      <c r="AP120" s="272"/>
      <c r="AQ120" s="272"/>
      <c r="AR120" s="274"/>
      <c r="AS120" s="274"/>
      <c r="AT120" s="274"/>
      <c r="AU120" s="274"/>
      <c r="AV120" s="274"/>
      <c r="AW120" s="274"/>
      <c r="AX120" s="298">
        <f>IF(BL39&lt;30,AU120*3,IF(BL39&lt;126,AU120*2+AU120*(100-BL39)/100,AU120*(BL39-100)/100))</f>
        <v>0</v>
      </c>
      <c r="AY120" s="298"/>
      <c r="AZ120" s="298"/>
      <c r="BA120" s="274"/>
      <c r="BB120" s="274"/>
      <c r="BC120" s="274"/>
      <c r="BD120" s="13"/>
      <c r="BE120" s="261"/>
      <c r="BF120" s="261"/>
      <c r="BG120" s="261"/>
      <c r="BH120" s="261"/>
      <c r="BI120" s="261"/>
      <c r="BJ120" s="261"/>
      <c r="BK120" s="261"/>
      <c r="BL120" s="261"/>
      <c r="BM120" s="261"/>
      <c r="BN120" s="261"/>
      <c r="BO120" s="261"/>
      <c r="BP120" s="261"/>
      <c r="BQ120" s="29"/>
    </row>
    <row r="121" spans="1:69" ht="7.5" customHeight="1">
      <c r="A121" s="19"/>
      <c r="B121" s="332"/>
      <c r="C121" s="333"/>
      <c r="D121" s="333"/>
      <c r="E121" s="333"/>
      <c r="F121" s="333"/>
      <c r="G121" s="333"/>
      <c r="H121" s="333"/>
      <c r="I121" s="333"/>
      <c r="J121" s="333"/>
      <c r="K121" s="333"/>
      <c r="L121" s="333"/>
      <c r="M121" s="333"/>
      <c r="N121" s="333"/>
      <c r="O121" s="333"/>
      <c r="P121" s="333"/>
      <c r="Q121" s="331"/>
      <c r="R121" s="331"/>
      <c r="S121" s="331"/>
      <c r="T121" s="300"/>
      <c r="U121" s="300"/>
      <c r="V121" s="300"/>
      <c r="W121" s="300"/>
      <c r="X121" s="300"/>
      <c r="Y121" s="300"/>
      <c r="Z121" s="300"/>
      <c r="AA121" s="300"/>
      <c r="AB121" s="300"/>
      <c r="AC121" s="273"/>
      <c r="AD121" s="272"/>
      <c r="AE121" s="272"/>
      <c r="AF121" s="272"/>
      <c r="AG121" s="272"/>
      <c r="AH121" s="272"/>
      <c r="AI121" s="272"/>
      <c r="AJ121" s="272"/>
      <c r="AK121" s="272"/>
      <c r="AL121" s="272"/>
      <c r="AM121" s="272"/>
      <c r="AN121" s="272"/>
      <c r="AO121" s="272"/>
      <c r="AP121" s="272"/>
      <c r="AQ121" s="272"/>
      <c r="AR121" s="274"/>
      <c r="AS121" s="274"/>
      <c r="AT121" s="274"/>
      <c r="AU121" s="274"/>
      <c r="AV121" s="274"/>
      <c r="AW121" s="274"/>
      <c r="AX121" s="298"/>
      <c r="AY121" s="298"/>
      <c r="AZ121" s="298"/>
      <c r="BA121" s="274"/>
      <c r="BB121" s="274"/>
      <c r="BC121" s="274"/>
      <c r="BD121" s="13"/>
      <c r="BE121" s="261"/>
      <c r="BF121" s="261"/>
      <c r="BG121" s="261"/>
      <c r="BH121" s="261"/>
      <c r="BI121" s="261"/>
      <c r="BJ121" s="261"/>
      <c r="BK121" s="261"/>
      <c r="BL121" s="261"/>
      <c r="BM121" s="261"/>
      <c r="BN121" s="261"/>
      <c r="BO121" s="261"/>
      <c r="BP121" s="261"/>
      <c r="BQ121" s="29"/>
    </row>
    <row r="122" spans="1:69" ht="7.5" customHeight="1">
      <c r="A122" s="19"/>
      <c r="B122" s="332"/>
      <c r="C122" s="333"/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1"/>
      <c r="R122" s="331"/>
      <c r="S122" s="331"/>
      <c r="T122" s="300"/>
      <c r="U122" s="300"/>
      <c r="V122" s="300"/>
      <c r="W122" s="300"/>
      <c r="X122" s="300"/>
      <c r="Y122" s="300"/>
      <c r="Z122" s="300"/>
      <c r="AA122" s="300"/>
      <c r="AB122" s="300"/>
      <c r="AC122" s="273">
        <v>13</v>
      </c>
      <c r="AD122" s="272"/>
      <c r="AE122" s="272"/>
      <c r="AF122" s="272"/>
      <c r="AG122" s="272"/>
      <c r="AH122" s="272"/>
      <c r="AI122" s="272"/>
      <c r="AJ122" s="272"/>
      <c r="AK122" s="272"/>
      <c r="AL122" s="272"/>
      <c r="AM122" s="272"/>
      <c r="AN122" s="272"/>
      <c r="AO122" s="272"/>
      <c r="AP122" s="272"/>
      <c r="AQ122" s="272"/>
      <c r="AR122" s="274"/>
      <c r="AS122" s="274"/>
      <c r="AT122" s="274"/>
      <c r="AU122" s="274"/>
      <c r="AV122" s="274"/>
      <c r="AW122" s="274"/>
      <c r="AX122" s="298">
        <f>IF(BL39&lt;30,AU122*3,IF(BL39&lt;126,AU122*2+AU122*(100-BL39)/100,AU122*(BL39-100)/100))</f>
        <v>0</v>
      </c>
      <c r="AY122" s="298"/>
      <c r="AZ122" s="298"/>
      <c r="BA122" s="274"/>
      <c r="BB122" s="274"/>
      <c r="BC122" s="274"/>
      <c r="BD122" s="13"/>
      <c r="BE122" s="261"/>
      <c r="BF122" s="261"/>
      <c r="BG122" s="261"/>
      <c r="BH122" s="261"/>
      <c r="BI122" s="261"/>
      <c r="BJ122" s="261"/>
      <c r="BK122" s="261"/>
      <c r="BL122" s="261"/>
      <c r="BM122" s="261"/>
      <c r="BN122" s="261"/>
      <c r="BO122" s="261"/>
      <c r="BP122" s="261"/>
      <c r="BQ122" s="29"/>
    </row>
    <row r="123" spans="1:69" ht="7.5" customHeight="1">
      <c r="A123" s="19"/>
      <c r="B123" s="332">
        <v>5</v>
      </c>
      <c r="C123" s="333"/>
      <c r="D123" s="333"/>
      <c r="E123" s="333"/>
      <c r="F123" s="333"/>
      <c r="G123" s="333"/>
      <c r="H123" s="333"/>
      <c r="I123" s="333"/>
      <c r="J123" s="333"/>
      <c r="K123" s="333"/>
      <c r="L123" s="333"/>
      <c r="M123" s="333"/>
      <c r="N123" s="333"/>
      <c r="O123" s="333"/>
      <c r="P123" s="333"/>
      <c r="Q123" s="331"/>
      <c r="R123" s="331"/>
      <c r="S123" s="331"/>
      <c r="T123" s="299">
        <f>IF(INDEX(Таблицы!AA398:AA462,Таблицы!Y410,1)="",0,INDEX(Таблицы!AA398:AA462,Таблицы!Y410,1))</f>
        <v>0</v>
      </c>
      <c r="U123" s="299"/>
      <c r="V123" s="299"/>
      <c r="W123" s="300">
        <f>IF(AK39&lt;30,T123*3,IF(AK39&lt;126,T123*2+T123*(100-AK39)/100,T123*(AK39-100)/100))</f>
        <v>0</v>
      </c>
      <c r="X123" s="300"/>
      <c r="Y123" s="300"/>
      <c r="Z123" s="299">
        <f>IF(INDEX(Таблицы!AB398:AB462,Таблицы!Y410,1)="",0,INDEX(Таблицы!AB398:AB462,Таблицы!Y410,1))*Q123</f>
        <v>0</v>
      </c>
      <c r="AA123" s="299"/>
      <c r="AB123" s="299"/>
      <c r="AC123" s="273"/>
      <c r="AD123" s="272"/>
      <c r="AE123" s="272"/>
      <c r="AF123" s="272"/>
      <c r="AG123" s="272"/>
      <c r="AH123" s="272"/>
      <c r="AI123" s="272"/>
      <c r="AJ123" s="272"/>
      <c r="AK123" s="272"/>
      <c r="AL123" s="272"/>
      <c r="AM123" s="272"/>
      <c r="AN123" s="272"/>
      <c r="AO123" s="272"/>
      <c r="AP123" s="272"/>
      <c r="AQ123" s="272"/>
      <c r="AR123" s="274"/>
      <c r="AS123" s="274"/>
      <c r="AT123" s="274"/>
      <c r="AU123" s="274"/>
      <c r="AV123" s="274"/>
      <c r="AW123" s="274"/>
      <c r="AX123" s="298"/>
      <c r="AY123" s="298"/>
      <c r="AZ123" s="298"/>
      <c r="BA123" s="274"/>
      <c r="BB123" s="274"/>
      <c r="BC123" s="274"/>
      <c r="BD123" s="13"/>
      <c r="BE123" s="261"/>
      <c r="BF123" s="261"/>
      <c r="BG123" s="261"/>
      <c r="BH123" s="261"/>
      <c r="BI123" s="261"/>
      <c r="BJ123" s="261"/>
      <c r="BK123" s="261"/>
      <c r="BL123" s="261"/>
      <c r="BM123" s="261"/>
      <c r="BN123" s="261"/>
      <c r="BO123" s="261"/>
      <c r="BP123" s="261"/>
      <c r="BQ123" s="29"/>
    </row>
    <row r="124" spans="1:69" ht="7.5" customHeight="1">
      <c r="A124" s="19"/>
      <c r="B124" s="332"/>
      <c r="C124" s="333"/>
      <c r="D124" s="333"/>
      <c r="E124" s="333"/>
      <c r="F124" s="333"/>
      <c r="G124" s="333"/>
      <c r="H124" s="333"/>
      <c r="I124" s="333"/>
      <c r="J124" s="333"/>
      <c r="K124" s="333"/>
      <c r="L124" s="333"/>
      <c r="M124" s="333"/>
      <c r="N124" s="333"/>
      <c r="O124" s="333"/>
      <c r="P124" s="333"/>
      <c r="Q124" s="331"/>
      <c r="R124" s="331"/>
      <c r="S124" s="331"/>
      <c r="T124" s="300"/>
      <c r="U124" s="300"/>
      <c r="V124" s="300"/>
      <c r="W124" s="300"/>
      <c r="X124" s="300"/>
      <c r="Y124" s="300"/>
      <c r="Z124" s="300"/>
      <c r="AA124" s="300"/>
      <c r="AB124" s="300"/>
      <c r="AC124" s="273">
        <v>14</v>
      </c>
      <c r="AD124" s="272"/>
      <c r="AE124" s="272"/>
      <c r="AF124" s="272"/>
      <c r="AG124" s="272"/>
      <c r="AH124" s="272"/>
      <c r="AI124" s="272"/>
      <c r="AJ124" s="272"/>
      <c r="AK124" s="272"/>
      <c r="AL124" s="272"/>
      <c r="AM124" s="272"/>
      <c r="AN124" s="272"/>
      <c r="AO124" s="272"/>
      <c r="AP124" s="272"/>
      <c r="AQ124" s="272"/>
      <c r="AR124" s="274"/>
      <c r="AS124" s="274"/>
      <c r="AT124" s="274"/>
      <c r="AU124" s="274"/>
      <c r="AV124" s="274"/>
      <c r="AW124" s="274"/>
      <c r="AX124" s="298">
        <f>IF(BL39&lt;30,AU124*3,IF(BL39&lt;126,AU124*2+AU124*(100-BL39)/100,AU124*(BL39-100)/100))</f>
        <v>0</v>
      </c>
      <c r="AY124" s="298"/>
      <c r="AZ124" s="298"/>
      <c r="BA124" s="274"/>
      <c r="BB124" s="274"/>
      <c r="BC124" s="274"/>
      <c r="BD124" s="13"/>
      <c r="BE124" s="261"/>
      <c r="BF124" s="261"/>
      <c r="BG124" s="261"/>
      <c r="BH124" s="261"/>
      <c r="BI124" s="261"/>
      <c r="BJ124" s="261"/>
      <c r="BK124" s="261"/>
      <c r="BL124" s="261"/>
      <c r="BM124" s="261"/>
      <c r="BN124" s="261"/>
      <c r="BO124" s="261"/>
      <c r="BP124" s="261"/>
      <c r="BQ124" s="29"/>
    </row>
    <row r="125" spans="1:69" ht="7.5" customHeight="1">
      <c r="A125" s="19"/>
      <c r="B125" s="332"/>
      <c r="C125" s="333"/>
      <c r="D125" s="333"/>
      <c r="E125" s="333"/>
      <c r="F125" s="333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1"/>
      <c r="R125" s="331"/>
      <c r="S125" s="331"/>
      <c r="T125" s="300"/>
      <c r="U125" s="300"/>
      <c r="V125" s="300"/>
      <c r="W125" s="300"/>
      <c r="X125" s="300"/>
      <c r="Y125" s="300"/>
      <c r="Z125" s="300"/>
      <c r="AA125" s="300"/>
      <c r="AB125" s="300"/>
      <c r="AC125" s="273"/>
      <c r="AD125" s="272"/>
      <c r="AE125" s="272"/>
      <c r="AF125" s="272"/>
      <c r="AG125" s="272"/>
      <c r="AH125" s="272"/>
      <c r="AI125" s="272"/>
      <c r="AJ125" s="272"/>
      <c r="AK125" s="272"/>
      <c r="AL125" s="272"/>
      <c r="AM125" s="272"/>
      <c r="AN125" s="272"/>
      <c r="AO125" s="272"/>
      <c r="AP125" s="272"/>
      <c r="AQ125" s="272"/>
      <c r="AR125" s="274"/>
      <c r="AS125" s="274"/>
      <c r="AT125" s="274"/>
      <c r="AU125" s="274"/>
      <c r="AV125" s="274"/>
      <c r="AW125" s="274"/>
      <c r="AX125" s="298"/>
      <c r="AY125" s="298"/>
      <c r="AZ125" s="298"/>
      <c r="BA125" s="274"/>
      <c r="BB125" s="274"/>
      <c r="BC125" s="274"/>
      <c r="BD125" s="13"/>
      <c r="BE125" s="261"/>
      <c r="BF125" s="261"/>
      <c r="BG125" s="261"/>
      <c r="BH125" s="261"/>
      <c r="BI125" s="261"/>
      <c r="BJ125" s="261"/>
      <c r="BK125" s="261"/>
      <c r="BL125" s="261"/>
      <c r="BM125" s="261"/>
      <c r="BN125" s="261"/>
      <c r="BO125" s="261"/>
      <c r="BP125" s="261"/>
      <c r="BQ125" s="29"/>
    </row>
    <row r="126" spans="1:69" ht="7.5" customHeight="1">
      <c r="A126" s="19"/>
      <c r="B126" s="332">
        <v>6</v>
      </c>
      <c r="C126" s="333"/>
      <c r="D126" s="333"/>
      <c r="E126" s="333"/>
      <c r="F126" s="333"/>
      <c r="G126" s="333"/>
      <c r="H126" s="333"/>
      <c r="I126" s="333"/>
      <c r="J126" s="333"/>
      <c r="K126" s="333"/>
      <c r="L126" s="333"/>
      <c r="M126" s="333"/>
      <c r="N126" s="333"/>
      <c r="O126" s="333"/>
      <c r="P126" s="333"/>
      <c r="Q126" s="331"/>
      <c r="R126" s="331"/>
      <c r="S126" s="331"/>
      <c r="T126" s="299">
        <f>IF(INDEX(Таблицы!AA398:AA462,Таблицы!Y411,1)="",0,INDEX(Таблицы!AA398:AA462,Таблицы!Y411,1))</f>
        <v>0</v>
      </c>
      <c r="U126" s="299"/>
      <c r="V126" s="299"/>
      <c r="W126" s="300">
        <f>IF(AK39&lt;30,T126*3,IF(AK39&lt;126,T126*2+T126*(100-AK39)/100,T126*(AK39-100)/100))</f>
        <v>0</v>
      </c>
      <c r="X126" s="300"/>
      <c r="Y126" s="300"/>
      <c r="Z126" s="299">
        <f>IF(INDEX(Таблицы!AB398:AB462,Таблицы!Y411,1)="",0,INDEX(Таблицы!AB398:AB462,Таблицы!Y411,1))*Q126</f>
        <v>0</v>
      </c>
      <c r="AA126" s="299"/>
      <c r="AB126" s="299"/>
      <c r="AC126" s="273">
        <v>15</v>
      </c>
      <c r="AD126" s="272"/>
      <c r="AE126" s="272"/>
      <c r="AF126" s="272"/>
      <c r="AG126" s="272"/>
      <c r="AH126" s="272"/>
      <c r="AI126" s="272"/>
      <c r="AJ126" s="272"/>
      <c r="AK126" s="272"/>
      <c r="AL126" s="272"/>
      <c r="AM126" s="272"/>
      <c r="AN126" s="272"/>
      <c r="AO126" s="272"/>
      <c r="AP126" s="272"/>
      <c r="AQ126" s="272"/>
      <c r="AR126" s="274"/>
      <c r="AS126" s="274"/>
      <c r="AT126" s="274"/>
      <c r="AU126" s="274"/>
      <c r="AV126" s="274"/>
      <c r="AW126" s="274"/>
      <c r="AX126" s="298">
        <f>IF(BL39&lt;30,AU126*3,IF(BL39&lt;126,AU126*2+AU126*(100-BL39)/100,AU126*(BL39-100)/100))</f>
        <v>0</v>
      </c>
      <c r="AY126" s="298"/>
      <c r="AZ126" s="298"/>
      <c r="BA126" s="274"/>
      <c r="BB126" s="274"/>
      <c r="BC126" s="274"/>
      <c r="BD126" s="13"/>
      <c r="BE126" s="261"/>
      <c r="BF126" s="261"/>
      <c r="BG126" s="261"/>
      <c r="BH126" s="261"/>
      <c r="BI126" s="261"/>
      <c r="BJ126" s="261"/>
      <c r="BK126" s="261"/>
      <c r="BL126" s="261"/>
      <c r="BM126" s="261"/>
      <c r="BN126" s="261"/>
      <c r="BO126" s="261"/>
      <c r="BP126" s="261"/>
      <c r="BQ126" s="29"/>
    </row>
    <row r="127" spans="1:69" ht="7.5" customHeight="1">
      <c r="A127" s="19"/>
      <c r="B127" s="332"/>
      <c r="C127" s="333"/>
      <c r="D127" s="333"/>
      <c r="E127" s="333"/>
      <c r="F127" s="333"/>
      <c r="G127" s="333"/>
      <c r="H127" s="333"/>
      <c r="I127" s="333"/>
      <c r="J127" s="333"/>
      <c r="K127" s="333"/>
      <c r="L127" s="333"/>
      <c r="M127" s="333"/>
      <c r="N127" s="333"/>
      <c r="O127" s="333"/>
      <c r="P127" s="333"/>
      <c r="Q127" s="331"/>
      <c r="R127" s="331"/>
      <c r="S127" s="331"/>
      <c r="T127" s="300"/>
      <c r="U127" s="300"/>
      <c r="V127" s="300"/>
      <c r="W127" s="300"/>
      <c r="X127" s="300"/>
      <c r="Y127" s="300"/>
      <c r="Z127" s="300"/>
      <c r="AA127" s="300"/>
      <c r="AB127" s="300"/>
      <c r="AC127" s="273"/>
      <c r="AD127" s="272"/>
      <c r="AE127" s="272"/>
      <c r="AF127" s="272"/>
      <c r="AG127" s="272"/>
      <c r="AH127" s="272"/>
      <c r="AI127" s="272"/>
      <c r="AJ127" s="272"/>
      <c r="AK127" s="272"/>
      <c r="AL127" s="272"/>
      <c r="AM127" s="272"/>
      <c r="AN127" s="272"/>
      <c r="AO127" s="272"/>
      <c r="AP127" s="272"/>
      <c r="AQ127" s="272"/>
      <c r="AR127" s="274"/>
      <c r="AS127" s="274"/>
      <c r="AT127" s="274"/>
      <c r="AU127" s="274"/>
      <c r="AV127" s="274"/>
      <c r="AW127" s="274"/>
      <c r="AX127" s="298"/>
      <c r="AY127" s="298"/>
      <c r="AZ127" s="298"/>
      <c r="BA127" s="274"/>
      <c r="BB127" s="274"/>
      <c r="BC127" s="274"/>
      <c r="BD127" s="13"/>
      <c r="BE127" s="261"/>
      <c r="BF127" s="261"/>
      <c r="BG127" s="261"/>
      <c r="BH127" s="261"/>
      <c r="BI127" s="261"/>
      <c r="BJ127" s="261"/>
      <c r="BK127" s="261"/>
      <c r="BL127" s="261"/>
      <c r="BM127" s="261"/>
      <c r="BN127" s="261"/>
      <c r="BO127" s="261"/>
      <c r="BP127" s="261"/>
      <c r="BQ127" s="29"/>
    </row>
    <row r="128" spans="1:69" ht="7.5" customHeight="1">
      <c r="A128" s="19"/>
      <c r="B128" s="332"/>
      <c r="C128" s="333"/>
      <c r="D128" s="333"/>
      <c r="E128" s="333"/>
      <c r="F128" s="333"/>
      <c r="G128" s="333"/>
      <c r="H128" s="333"/>
      <c r="I128" s="333"/>
      <c r="J128" s="333"/>
      <c r="K128" s="333"/>
      <c r="L128" s="333"/>
      <c r="M128" s="333"/>
      <c r="N128" s="333"/>
      <c r="O128" s="333"/>
      <c r="P128" s="333"/>
      <c r="Q128" s="331"/>
      <c r="R128" s="331"/>
      <c r="S128" s="331"/>
      <c r="T128" s="300"/>
      <c r="U128" s="300"/>
      <c r="V128" s="300"/>
      <c r="W128" s="300"/>
      <c r="X128" s="300"/>
      <c r="Y128" s="300"/>
      <c r="Z128" s="300"/>
      <c r="AA128" s="300"/>
      <c r="AB128" s="300"/>
      <c r="AC128" s="273">
        <v>16</v>
      </c>
      <c r="AD128" s="272"/>
      <c r="AE128" s="272"/>
      <c r="AF128" s="272"/>
      <c r="AG128" s="272"/>
      <c r="AH128" s="272"/>
      <c r="AI128" s="272"/>
      <c r="AJ128" s="272"/>
      <c r="AK128" s="272"/>
      <c r="AL128" s="272"/>
      <c r="AM128" s="272"/>
      <c r="AN128" s="272"/>
      <c r="AO128" s="272"/>
      <c r="AP128" s="272"/>
      <c r="AQ128" s="272"/>
      <c r="AR128" s="274"/>
      <c r="AS128" s="274"/>
      <c r="AT128" s="274"/>
      <c r="AU128" s="274"/>
      <c r="AV128" s="274"/>
      <c r="AW128" s="274"/>
      <c r="AX128" s="298">
        <f>IF(BL39&lt;30,AU128*3,IF(BL39&lt;126,AU128*2+AU128*(100-BL39)/100,AU128*(BL39-100)/100))</f>
        <v>0</v>
      </c>
      <c r="AY128" s="298"/>
      <c r="AZ128" s="298"/>
      <c r="BA128" s="274"/>
      <c r="BB128" s="274"/>
      <c r="BC128" s="274"/>
      <c r="BD128" s="13"/>
      <c r="BE128" s="261"/>
      <c r="BF128" s="261"/>
      <c r="BG128" s="261"/>
      <c r="BH128" s="261"/>
      <c r="BI128" s="261"/>
      <c r="BJ128" s="261"/>
      <c r="BK128" s="261"/>
      <c r="BL128" s="261"/>
      <c r="BM128" s="261"/>
      <c r="BN128" s="261"/>
      <c r="BO128" s="261"/>
      <c r="BP128" s="261"/>
      <c r="BQ128" s="29"/>
    </row>
    <row r="129" spans="1:69" ht="7.5" customHeight="1">
      <c r="A129" s="19"/>
      <c r="B129" s="332">
        <v>7</v>
      </c>
      <c r="C129" s="333"/>
      <c r="D129" s="333"/>
      <c r="E129" s="333"/>
      <c r="F129" s="333"/>
      <c r="G129" s="333"/>
      <c r="H129" s="333"/>
      <c r="I129" s="333"/>
      <c r="J129" s="333"/>
      <c r="K129" s="333"/>
      <c r="L129" s="333"/>
      <c r="M129" s="333"/>
      <c r="N129" s="333"/>
      <c r="O129" s="333"/>
      <c r="P129" s="333"/>
      <c r="Q129" s="331"/>
      <c r="R129" s="331"/>
      <c r="S129" s="331"/>
      <c r="T129" s="299">
        <f>IF(INDEX(Таблицы!AA398:AA462,Таблицы!Y412,1)="",0,INDEX(Таблицы!AA398:AA462,Таблицы!Y412,1))</f>
        <v>0</v>
      </c>
      <c r="U129" s="299"/>
      <c r="V129" s="299"/>
      <c r="W129" s="300">
        <f>IF(AK39&lt;30,T129*3,IF(AK39&lt;126,T129*2+T129*(100-AK39)/100,T129*(AK39-100)/100))</f>
        <v>0</v>
      </c>
      <c r="X129" s="300"/>
      <c r="Y129" s="300"/>
      <c r="Z129" s="299">
        <f>IF(INDEX(Таблицы!AB398:AB462,Таблицы!Y412,1)="",0,INDEX(Таблицы!AB398:AB462,Таблицы!Y412,1))*Q129</f>
        <v>0</v>
      </c>
      <c r="AA129" s="299"/>
      <c r="AB129" s="299"/>
      <c r="AC129" s="273"/>
      <c r="AD129" s="272"/>
      <c r="AE129" s="272"/>
      <c r="AF129" s="272"/>
      <c r="AG129" s="272"/>
      <c r="AH129" s="272"/>
      <c r="AI129" s="272"/>
      <c r="AJ129" s="272"/>
      <c r="AK129" s="272"/>
      <c r="AL129" s="272"/>
      <c r="AM129" s="272"/>
      <c r="AN129" s="272"/>
      <c r="AO129" s="272"/>
      <c r="AP129" s="272"/>
      <c r="AQ129" s="272"/>
      <c r="AR129" s="274"/>
      <c r="AS129" s="274"/>
      <c r="AT129" s="274"/>
      <c r="AU129" s="274"/>
      <c r="AV129" s="274"/>
      <c r="AW129" s="274"/>
      <c r="AX129" s="298"/>
      <c r="AY129" s="298"/>
      <c r="AZ129" s="298"/>
      <c r="BA129" s="274"/>
      <c r="BB129" s="274"/>
      <c r="BC129" s="274"/>
      <c r="BD129" s="13"/>
      <c r="BE129" s="261"/>
      <c r="BF129" s="261"/>
      <c r="BG129" s="261"/>
      <c r="BH129" s="261"/>
      <c r="BI129" s="261"/>
      <c r="BJ129" s="261"/>
      <c r="BK129" s="261"/>
      <c r="BL129" s="261"/>
      <c r="BM129" s="261"/>
      <c r="BN129" s="261"/>
      <c r="BO129" s="261"/>
      <c r="BP129" s="261"/>
      <c r="BQ129" s="29"/>
    </row>
    <row r="130" spans="1:69" ht="7.5" customHeight="1">
      <c r="A130" s="19"/>
      <c r="B130" s="332"/>
      <c r="C130" s="333"/>
      <c r="D130" s="333"/>
      <c r="E130" s="333"/>
      <c r="F130" s="333"/>
      <c r="G130" s="333"/>
      <c r="H130" s="333"/>
      <c r="I130" s="333"/>
      <c r="J130" s="333"/>
      <c r="K130" s="333"/>
      <c r="L130" s="333"/>
      <c r="M130" s="333"/>
      <c r="N130" s="333"/>
      <c r="O130" s="333"/>
      <c r="P130" s="333"/>
      <c r="Q130" s="331"/>
      <c r="R130" s="331"/>
      <c r="S130" s="331"/>
      <c r="T130" s="300"/>
      <c r="U130" s="300"/>
      <c r="V130" s="300"/>
      <c r="W130" s="300"/>
      <c r="X130" s="300"/>
      <c r="Y130" s="300"/>
      <c r="Z130" s="300"/>
      <c r="AA130" s="300"/>
      <c r="AB130" s="300"/>
      <c r="AC130" s="275" t="s">
        <v>230</v>
      </c>
      <c r="AD130" s="275"/>
      <c r="AE130" s="275"/>
      <c r="AF130" s="275"/>
      <c r="AG130" s="275"/>
      <c r="AH130" s="275"/>
      <c r="AI130" s="275"/>
      <c r="AJ130" s="275"/>
      <c r="AK130" s="275"/>
      <c r="AL130" s="275"/>
      <c r="AM130" s="275"/>
      <c r="AN130" s="275"/>
      <c r="AO130" s="275"/>
      <c r="AP130" s="275"/>
      <c r="AQ130" s="275"/>
      <c r="AR130" s="275"/>
      <c r="AS130" s="275"/>
      <c r="AT130" s="276"/>
      <c r="AU130" s="279">
        <f>SUM(T111:V131)+SUM(AU111:AW129)</f>
        <v>0</v>
      </c>
      <c r="AV130" s="279"/>
      <c r="AW130" s="279"/>
      <c r="AX130" s="279">
        <f>SUM(W111:Y131)+SUM(AX111:AZ129)</f>
        <v>0</v>
      </c>
      <c r="AY130" s="279"/>
      <c r="AZ130" s="279"/>
      <c r="BA130" s="279">
        <f>SUM(Z111:AB131)+SUM(BA111:BC129)</f>
        <v>0</v>
      </c>
      <c r="BB130" s="279"/>
      <c r="BC130" s="279"/>
      <c r="BD130" s="13"/>
      <c r="BE130" s="261"/>
      <c r="BF130" s="261"/>
      <c r="BG130" s="261"/>
      <c r="BH130" s="261"/>
      <c r="BI130" s="261"/>
      <c r="BJ130" s="261"/>
      <c r="BK130" s="261"/>
      <c r="BL130" s="261"/>
      <c r="BM130" s="261"/>
      <c r="BN130" s="261"/>
      <c r="BO130" s="261"/>
      <c r="BP130" s="261"/>
      <c r="BQ130" s="29"/>
    </row>
    <row r="131" spans="1:69" ht="7.5" customHeight="1">
      <c r="A131" s="19"/>
      <c r="B131" s="332"/>
      <c r="C131" s="333"/>
      <c r="D131" s="333"/>
      <c r="E131" s="333"/>
      <c r="F131" s="333"/>
      <c r="G131" s="333"/>
      <c r="H131" s="333"/>
      <c r="I131" s="333"/>
      <c r="J131" s="333"/>
      <c r="K131" s="333"/>
      <c r="L131" s="333"/>
      <c r="M131" s="333"/>
      <c r="N131" s="333"/>
      <c r="O131" s="333"/>
      <c r="P131" s="333"/>
      <c r="Q131" s="331"/>
      <c r="R131" s="331"/>
      <c r="S131" s="331"/>
      <c r="T131" s="300"/>
      <c r="U131" s="300"/>
      <c r="V131" s="300"/>
      <c r="W131" s="300"/>
      <c r="X131" s="300"/>
      <c r="Y131" s="300"/>
      <c r="Z131" s="300"/>
      <c r="AA131" s="300"/>
      <c r="AB131" s="300"/>
      <c r="AC131" s="277"/>
      <c r="AD131" s="277"/>
      <c r="AE131" s="277"/>
      <c r="AF131" s="277"/>
      <c r="AG131" s="277"/>
      <c r="AH131" s="277"/>
      <c r="AI131" s="277"/>
      <c r="AJ131" s="277"/>
      <c r="AK131" s="277"/>
      <c r="AL131" s="277"/>
      <c r="AM131" s="277"/>
      <c r="AN131" s="277"/>
      <c r="AO131" s="277"/>
      <c r="AP131" s="277"/>
      <c r="AQ131" s="277"/>
      <c r="AR131" s="277"/>
      <c r="AS131" s="277"/>
      <c r="AT131" s="278"/>
      <c r="AU131" s="279"/>
      <c r="AV131" s="279"/>
      <c r="AW131" s="279"/>
      <c r="AX131" s="279"/>
      <c r="AY131" s="279"/>
      <c r="AZ131" s="279"/>
      <c r="BA131" s="279"/>
      <c r="BB131" s="279"/>
      <c r="BC131" s="279"/>
      <c r="BD131" s="13"/>
      <c r="BE131" s="261"/>
      <c r="BF131" s="261"/>
      <c r="BG131" s="261"/>
      <c r="BH131" s="261"/>
      <c r="BI131" s="261"/>
      <c r="BJ131" s="261"/>
      <c r="BK131" s="261"/>
      <c r="BL131" s="261"/>
      <c r="BM131" s="261"/>
      <c r="BN131" s="261"/>
      <c r="BO131" s="261"/>
      <c r="BP131" s="261"/>
      <c r="BQ131" s="29"/>
    </row>
    <row r="132" spans="1:69" ht="7.5" customHeight="1" thickBot="1">
      <c r="A132" s="32"/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0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3"/>
    </row>
  </sheetData>
  <sheetProtection password="CF7A" sheet="1" objects="1" scenarios="1"/>
  <mergeCells count="760">
    <mergeCell ref="BE110:BN111"/>
    <mergeCell ref="BO110:BP111"/>
    <mergeCell ref="BE106:BN107"/>
    <mergeCell ref="BO106:BP107"/>
    <mergeCell ref="BE108:BN109"/>
    <mergeCell ref="BO108:BP109"/>
    <mergeCell ref="BE102:BN103"/>
    <mergeCell ref="BO102:BP103"/>
    <mergeCell ref="BE104:BN105"/>
    <mergeCell ref="BO104:BP105"/>
    <mergeCell ref="V72:Y73"/>
    <mergeCell ref="Z72:Z73"/>
    <mergeCell ref="AD70:BC71"/>
    <mergeCell ref="B70:AA71"/>
    <mergeCell ref="AV72:AW74"/>
    <mergeCell ref="B72:E74"/>
    <mergeCell ref="T72:U74"/>
    <mergeCell ref="F72:Q74"/>
    <mergeCell ref="AD72:AG74"/>
    <mergeCell ref="AT72:AU74"/>
    <mergeCell ref="AA2:AE3"/>
    <mergeCell ref="AF2:AR3"/>
    <mergeCell ref="AH47:AR49"/>
    <mergeCell ref="AO77:AU78"/>
    <mergeCell ref="AD75:AD76"/>
    <mergeCell ref="AE75:AG76"/>
    <mergeCell ref="AH75:AI76"/>
    <mergeCell ref="AJ75:AQ76"/>
    <mergeCell ref="AR75:AS76"/>
    <mergeCell ref="AT75:AW76"/>
    <mergeCell ref="BO93:BO94"/>
    <mergeCell ref="BP93:BP94"/>
    <mergeCell ref="R72:S74"/>
    <mergeCell ref="AX72:BA73"/>
    <mergeCell ref="BB72:BB73"/>
    <mergeCell ref="BM85:BN86"/>
    <mergeCell ref="BO85:BO86"/>
    <mergeCell ref="BP85:BP86"/>
    <mergeCell ref="BM89:BN90"/>
    <mergeCell ref="BO89:BO90"/>
    <mergeCell ref="BH89:BH90"/>
    <mergeCell ref="BI89:BJ90"/>
    <mergeCell ref="BK89:BL90"/>
    <mergeCell ref="BK87:BK88"/>
    <mergeCell ref="BH87:BH88"/>
    <mergeCell ref="BL87:BM88"/>
    <mergeCell ref="AV79:AW81"/>
    <mergeCell ref="AF82:AJ83"/>
    <mergeCell ref="AK82:AM83"/>
    <mergeCell ref="AN82:AW83"/>
    <mergeCell ref="AD79:AF81"/>
    <mergeCell ref="AG79:AO81"/>
    <mergeCell ref="AT79:AU81"/>
    <mergeCell ref="AP79:AQ81"/>
    <mergeCell ref="AR79:AS81"/>
    <mergeCell ref="AD82:AE83"/>
    <mergeCell ref="BI75:BJ76"/>
    <mergeCell ref="BK75:BL76"/>
    <mergeCell ref="BM75:BN76"/>
    <mergeCell ref="BP89:BP90"/>
    <mergeCell ref="BO87:BP88"/>
    <mergeCell ref="BN87:BN88"/>
    <mergeCell ref="BI87:BJ88"/>
    <mergeCell ref="BL83:BM84"/>
    <mergeCell ref="BL81:BP82"/>
    <mergeCell ref="BO75:BP76"/>
    <mergeCell ref="BB60:BO61"/>
    <mergeCell ref="BB62:BO63"/>
    <mergeCell ref="BB64:BO65"/>
    <mergeCell ref="BB66:BO67"/>
    <mergeCell ref="BB47:BO49"/>
    <mergeCell ref="BB50:BO51"/>
    <mergeCell ref="BB52:BO53"/>
    <mergeCell ref="BB54:BO55"/>
    <mergeCell ref="BE128:BP129"/>
    <mergeCell ref="BE130:BP131"/>
    <mergeCell ref="BE120:BP121"/>
    <mergeCell ref="BE122:BP123"/>
    <mergeCell ref="BE124:BP125"/>
    <mergeCell ref="BE126:BP127"/>
    <mergeCell ref="BE114:BP115"/>
    <mergeCell ref="BE116:BP117"/>
    <mergeCell ref="AC128:AC129"/>
    <mergeCell ref="AD128:AQ129"/>
    <mergeCell ref="AR128:AT129"/>
    <mergeCell ref="BA126:BC127"/>
    <mergeCell ref="BA120:BC121"/>
    <mergeCell ref="AX122:AZ123"/>
    <mergeCell ref="AU128:AW129"/>
    <mergeCell ref="BA122:BC123"/>
    <mergeCell ref="AC130:AT131"/>
    <mergeCell ref="AU130:AW131"/>
    <mergeCell ref="AX130:AZ131"/>
    <mergeCell ref="BA130:BC131"/>
    <mergeCell ref="BI70:BP72"/>
    <mergeCell ref="BE73:BF74"/>
    <mergeCell ref="BG73:BH74"/>
    <mergeCell ref="BI73:BJ74"/>
    <mergeCell ref="BK73:BL74"/>
    <mergeCell ref="BM73:BN74"/>
    <mergeCell ref="BO73:BP74"/>
    <mergeCell ref="BE70:BH72"/>
    <mergeCell ref="BO91:BP92"/>
    <mergeCell ref="BH93:BH94"/>
    <mergeCell ref="BI93:BJ94"/>
    <mergeCell ref="BK93:BL94"/>
    <mergeCell ref="BL91:BM92"/>
    <mergeCell ref="BN91:BN92"/>
    <mergeCell ref="BM93:BN94"/>
    <mergeCell ref="BK91:BK92"/>
    <mergeCell ref="BI91:BJ92"/>
    <mergeCell ref="BH91:BH92"/>
    <mergeCell ref="BE75:BF76"/>
    <mergeCell ref="BG75:BH76"/>
    <mergeCell ref="BE118:BP119"/>
    <mergeCell ref="BN79:BN80"/>
    <mergeCell ref="BO79:BP80"/>
    <mergeCell ref="BH81:BH82"/>
    <mergeCell ref="BI81:BJ82"/>
    <mergeCell ref="BK81:BK82"/>
    <mergeCell ref="BE79:BG82"/>
    <mergeCell ref="BN83:BN84"/>
    <mergeCell ref="AU124:AW125"/>
    <mergeCell ref="AX124:AZ125"/>
    <mergeCell ref="BA124:BC125"/>
    <mergeCell ref="AX128:AZ129"/>
    <mergeCell ref="BA128:BC129"/>
    <mergeCell ref="AX126:AZ127"/>
    <mergeCell ref="AC126:AC127"/>
    <mergeCell ref="AD126:AQ127"/>
    <mergeCell ref="AR126:AT127"/>
    <mergeCell ref="AU126:AW127"/>
    <mergeCell ref="AR120:AT121"/>
    <mergeCell ref="AC120:AC121"/>
    <mergeCell ref="AC124:AC125"/>
    <mergeCell ref="AD124:AQ125"/>
    <mergeCell ref="AR124:AT125"/>
    <mergeCell ref="AC122:AC123"/>
    <mergeCell ref="AD122:AQ123"/>
    <mergeCell ref="AR122:AT123"/>
    <mergeCell ref="AU122:AW123"/>
    <mergeCell ref="AU118:AW119"/>
    <mergeCell ref="AX116:AZ117"/>
    <mergeCell ref="AX114:AZ115"/>
    <mergeCell ref="AU120:AW121"/>
    <mergeCell ref="AX120:AZ121"/>
    <mergeCell ref="AU116:AW117"/>
    <mergeCell ref="AX118:AZ119"/>
    <mergeCell ref="AU114:AW115"/>
    <mergeCell ref="BK79:BK80"/>
    <mergeCell ref="Z123:AB125"/>
    <mergeCell ref="AU111:AW113"/>
    <mergeCell ref="AX111:AZ113"/>
    <mergeCell ref="AR116:AT117"/>
    <mergeCell ref="Z111:AB113"/>
    <mergeCell ref="AC114:AC115"/>
    <mergeCell ref="AD114:AQ115"/>
    <mergeCell ref="AX109:AZ110"/>
    <mergeCell ref="BA118:BC119"/>
    <mergeCell ref="W129:Y131"/>
    <mergeCell ref="BK77:BL78"/>
    <mergeCell ref="BE83:BG86"/>
    <mergeCell ref="BE77:BF78"/>
    <mergeCell ref="BH83:BH84"/>
    <mergeCell ref="BI83:BJ84"/>
    <mergeCell ref="BK83:BK84"/>
    <mergeCell ref="BL79:BM80"/>
    <mergeCell ref="BA114:BC115"/>
    <mergeCell ref="BI79:BJ80"/>
    <mergeCell ref="Q126:S128"/>
    <mergeCell ref="T126:V128"/>
    <mergeCell ref="AD111:AQ113"/>
    <mergeCell ref="BA116:BC117"/>
    <mergeCell ref="T111:V113"/>
    <mergeCell ref="Z114:AB116"/>
    <mergeCell ref="BA111:BC113"/>
    <mergeCell ref="AC116:AC117"/>
    <mergeCell ref="AD116:AQ117"/>
    <mergeCell ref="AC118:AC119"/>
    <mergeCell ref="AR111:AT113"/>
    <mergeCell ref="AS103:AT104"/>
    <mergeCell ref="AM103:AR104"/>
    <mergeCell ref="AM101:AR102"/>
    <mergeCell ref="Q129:S131"/>
    <mergeCell ref="T129:V131"/>
    <mergeCell ref="B129:B131"/>
    <mergeCell ref="C129:P131"/>
    <mergeCell ref="B126:B128"/>
    <mergeCell ref="C126:P128"/>
    <mergeCell ref="BG77:BJ78"/>
    <mergeCell ref="B120:B122"/>
    <mergeCell ref="C120:P122"/>
    <mergeCell ref="B123:B125"/>
    <mergeCell ref="C123:P125"/>
    <mergeCell ref="AD120:AQ121"/>
    <mergeCell ref="AD109:AQ110"/>
    <mergeCell ref="AC111:AC113"/>
    <mergeCell ref="BO77:BP78"/>
    <mergeCell ref="BM77:BN78"/>
    <mergeCell ref="BE100:BP101"/>
    <mergeCell ref="BE95:BP96"/>
    <mergeCell ref="BE97:BP98"/>
    <mergeCell ref="BO83:BP84"/>
    <mergeCell ref="BH85:BH86"/>
    <mergeCell ref="BI85:BJ86"/>
    <mergeCell ref="BK85:BL86"/>
    <mergeCell ref="BH79:BH80"/>
    <mergeCell ref="K93:M94"/>
    <mergeCell ref="Q117:S119"/>
    <mergeCell ref="C109:P110"/>
    <mergeCell ref="B109:B110"/>
    <mergeCell ref="B117:B119"/>
    <mergeCell ref="C117:P119"/>
    <mergeCell ref="B97:I98"/>
    <mergeCell ref="B95:I96"/>
    <mergeCell ref="B93:I94"/>
    <mergeCell ref="K99:P100"/>
    <mergeCell ref="AD118:AQ119"/>
    <mergeCell ref="AR118:AT119"/>
    <mergeCell ref="AR114:AT115"/>
    <mergeCell ref="T117:V119"/>
    <mergeCell ref="W114:Y116"/>
    <mergeCell ref="T114:V116"/>
    <mergeCell ref="W117:Y119"/>
    <mergeCell ref="Z117:AB119"/>
    <mergeCell ref="AV77:AW78"/>
    <mergeCell ref="AC109:AC110"/>
    <mergeCell ref="AU103:AW104"/>
    <mergeCell ref="B107:BC108"/>
    <mergeCell ref="B101:I102"/>
    <mergeCell ref="AJ103:AK104"/>
    <mergeCell ref="K101:P102"/>
    <mergeCell ref="AA101:AB102"/>
    <mergeCell ref="X103:Z104"/>
    <mergeCell ref="B90:I92"/>
    <mergeCell ref="B99:I100"/>
    <mergeCell ref="S99:U100"/>
    <mergeCell ref="AU99:AW100"/>
    <mergeCell ref="AZ99:BA100"/>
    <mergeCell ref="AF95:AG104"/>
    <mergeCell ref="AZ103:BA104"/>
    <mergeCell ref="AU95:AW96"/>
    <mergeCell ref="V95:W96"/>
    <mergeCell ref="AH95:AI96"/>
    <mergeCell ref="AS95:AT96"/>
    <mergeCell ref="AM99:AR100"/>
    <mergeCell ref="AZ95:BA96"/>
    <mergeCell ref="S97:U98"/>
    <mergeCell ref="AZ97:BA98"/>
    <mergeCell ref="S95:U96"/>
    <mergeCell ref="AA95:AB96"/>
    <mergeCell ref="AH97:AI98"/>
    <mergeCell ref="AM95:AR96"/>
    <mergeCell ref="K95:P96"/>
    <mergeCell ref="AU97:AW98"/>
    <mergeCell ref="AM97:AR98"/>
    <mergeCell ref="AS97:AT98"/>
    <mergeCell ref="V97:W98"/>
    <mergeCell ref="X97:Z98"/>
    <mergeCell ref="AJ95:AK96"/>
    <mergeCell ref="AJ97:AK98"/>
    <mergeCell ref="AJ101:AK102"/>
    <mergeCell ref="AH103:AI104"/>
    <mergeCell ref="X95:Z96"/>
    <mergeCell ref="AC95:AE96"/>
    <mergeCell ref="BB82:BC83"/>
    <mergeCell ref="AZ82:BA83"/>
    <mergeCell ref="AX95:AY104"/>
    <mergeCell ref="AA103:AB104"/>
    <mergeCell ref="AC99:AE100"/>
    <mergeCell ref="AH99:AI100"/>
    <mergeCell ref="AH101:AI102"/>
    <mergeCell ref="AS101:AT102"/>
    <mergeCell ref="AP90:BC92"/>
    <mergeCell ref="BB84:BC85"/>
    <mergeCell ref="AZ76:BA77"/>
    <mergeCell ref="AZ78:BA79"/>
    <mergeCell ref="BB78:BC79"/>
    <mergeCell ref="AZ80:BA81"/>
    <mergeCell ref="BB76:BC77"/>
    <mergeCell ref="BB80:BC81"/>
    <mergeCell ref="N93:P94"/>
    <mergeCell ref="AC101:AE102"/>
    <mergeCell ref="AC97:AE98"/>
    <mergeCell ref="Q95:R96"/>
    <mergeCell ref="Q97:R98"/>
    <mergeCell ref="V101:W102"/>
    <mergeCell ref="AA93:AE94"/>
    <mergeCell ref="K97:P98"/>
    <mergeCell ref="AA97:AB98"/>
    <mergeCell ref="V93:Z94"/>
    <mergeCell ref="B88:BC89"/>
    <mergeCell ref="AM90:AO92"/>
    <mergeCell ref="AZ84:BA85"/>
    <mergeCell ref="AX76:AY85"/>
    <mergeCell ref="Z82:AA83"/>
    <mergeCell ref="AL77:AL78"/>
    <mergeCell ref="AM77:AN78"/>
    <mergeCell ref="B84:I85"/>
    <mergeCell ref="AD84:AK85"/>
    <mergeCell ref="T84:U85"/>
    <mergeCell ref="AS93:AW94"/>
    <mergeCell ref="AS84:AU85"/>
    <mergeCell ref="AC103:AE104"/>
    <mergeCell ref="AP93:AR94"/>
    <mergeCell ref="AN84:AP85"/>
    <mergeCell ref="AM93:AO94"/>
    <mergeCell ref="AL84:AM85"/>
    <mergeCell ref="AQ84:AR85"/>
    <mergeCell ref="AV84:AW85"/>
    <mergeCell ref="Q90:AK92"/>
    <mergeCell ref="BE91:BG94"/>
    <mergeCell ref="AU101:AW102"/>
    <mergeCell ref="L82:U83"/>
    <mergeCell ref="Q101:R102"/>
    <mergeCell ref="S101:U102"/>
    <mergeCell ref="AA99:AB100"/>
    <mergeCell ref="X84:Y85"/>
    <mergeCell ref="Z84:AA85"/>
    <mergeCell ref="AS99:AT100"/>
    <mergeCell ref="AJ99:AK100"/>
    <mergeCell ref="BA109:BC110"/>
    <mergeCell ref="BE87:BG90"/>
    <mergeCell ref="BB95:BC96"/>
    <mergeCell ref="AR109:AT110"/>
    <mergeCell ref="AU109:AW110"/>
    <mergeCell ref="BB97:BC98"/>
    <mergeCell ref="BB103:BC104"/>
    <mergeCell ref="BB99:BC100"/>
    <mergeCell ref="AZ101:BA102"/>
    <mergeCell ref="BB101:BC102"/>
    <mergeCell ref="Z109:AB110"/>
    <mergeCell ref="X99:Z100"/>
    <mergeCell ref="Q99:R100"/>
    <mergeCell ref="W109:Y110"/>
    <mergeCell ref="S103:U104"/>
    <mergeCell ref="T109:V110"/>
    <mergeCell ref="Q109:S110"/>
    <mergeCell ref="V99:W100"/>
    <mergeCell ref="X101:Z102"/>
    <mergeCell ref="V103:W104"/>
    <mergeCell ref="V76:W85"/>
    <mergeCell ref="AJ77:AK78"/>
    <mergeCell ref="AD77:AE78"/>
    <mergeCell ref="AF77:AF78"/>
    <mergeCell ref="AG77:AH78"/>
    <mergeCell ref="AI77:AI78"/>
    <mergeCell ref="Z80:AA81"/>
    <mergeCell ref="B82:C83"/>
    <mergeCell ref="T79:U81"/>
    <mergeCell ref="R79:S81"/>
    <mergeCell ref="O84:P85"/>
    <mergeCell ref="J84:K85"/>
    <mergeCell ref="L84:N85"/>
    <mergeCell ref="N79:O81"/>
    <mergeCell ref="D82:H83"/>
    <mergeCell ref="I82:K83"/>
    <mergeCell ref="P79:Q81"/>
    <mergeCell ref="AH72:AS74"/>
    <mergeCell ref="B79:D81"/>
    <mergeCell ref="E79:M81"/>
    <mergeCell ref="X80:Y81"/>
    <mergeCell ref="G77:G78"/>
    <mergeCell ref="H77:I78"/>
    <mergeCell ref="J77:J78"/>
    <mergeCell ref="K77:L78"/>
    <mergeCell ref="Z76:AA77"/>
    <mergeCell ref="B75:B76"/>
    <mergeCell ref="C75:E76"/>
    <mergeCell ref="T77:U78"/>
    <mergeCell ref="Z78:AA79"/>
    <mergeCell ref="X76:Y77"/>
    <mergeCell ref="X78:Y79"/>
    <mergeCell ref="B77:C78"/>
    <mergeCell ref="D77:D78"/>
    <mergeCell ref="E77:F78"/>
    <mergeCell ref="F75:G76"/>
    <mergeCell ref="H75:O76"/>
    <mergeCell ref="P75:Q76"/>
    <mergeCell ref="R75:U76"/>
    <mergeCell ref="AT47:BA49"/>
    <mergeCell ref="AT50:BA51"/>
    <mergeCell ref="AH62:AR67"/>
    <mergeCell ref="AH59:AR61"/>
    <mergeCell ref="AH53:AR58"/>
    <mergeCell ref="AT64:BA65"/>
    <mergeCell ref="AT66:BA67"/>
    <mergeCell ref="AT54:BA55"/>
    <mergeCell ref="V52:X53"/>
    <mergeCell ref="B62:N63"/>
    <mergeCell ref="B60:N61"/>
    <mergeCell ref="AT5:AU6"/>
    <mergeCell ref="AT62:BA63"/>
    <mergeCell ref="AT52:BA53"/>
    <mergeCell ref="AT58:BA59"/>
    <mergeCell ref="AT60:BA61"/>
    <mergeCell ref="AT33:AU34"/>
    <mergeCell ref="AX13:AY14"/>
    <mergeCell ref="BJ11:BK12"/>
    <mergeCell ref="BJ9:BK10"/>
    <mergeCell ref="BJ7:BK8"/>
    <mergeCell ref="BF13:BG14"/>
    <mergeCell ref="BF11:BG12"/>
    <mergeCell ref="BF9:BG10"/>
    <mergeCell ref="BF7:BG8"/>
    <mergeCell ref="BN7:BO8"/>
    <mergeCell ref="BN13:BO14"/>
    <mergeCell ref="BN11:BO12"/>
    <mergeCell ref="BN9:BO10"/>
    <mergeCell ref="BB56:BO57"/>
    <mergeCell ref="BB58:BO59"/>
    <mergeCell ref="AH50:AR52"/>
    <mergeCell ref="AT3:AU4"/>
    <mergeCell ref="AT56:BA57"/>
    <mergeCell ref="AC5:AJ6"/>
    <mergeCell ref="AT39:AU40"/>
    <mergeCell ref="AT41:AU42"/>
    <mergeCell ref="AT43:AU44"/>
    <mergeCell ref="AT31:AU32"/>
    <mergeCell ref="BN21:BO22"/>
    <mergeCell ref="BN19:BO20"/>
    <mergeCell ref="BN17:BO18"/>
    <mergeCell ref="AW3:AY4"/>
    <mergeCell ref="BA3:BG4"/>
    <mergeCell ref="BI3:BO4"/>
    <mergeCell ref="AW5:AY6"/>
    <mergeCell ref="BA5:BG6"/>
    <mergeCell ref="BI5:BO6"/>
    <mergeCell ref="AX11:AY12"/>
    <mergeCell ref="BN29:BO30"/>
    <mergeCell ref="BN27:BO28"/>
    <mergeCell ref="BN25:BO26"/>
    <mergeCell ref="BN23:BO24"/>
    <mergeCell ref="BN35:BO36"/>
    <mergeCell ref="BN33:BO34"/>
    <mergeCell ref="BN31:BO32"/>
    <mergeCell ref="BJ19:BK20"/>
    <mergeCell ref="BM7:BM44"/>
    <mergeCell ref="BN43:BO44"/>
    <mergeCell ref="BN41:BO42"/>
    <mergeCell ref="BN39:BO40"/>
    <mergeCell ref="BN37:BO38"/>
    <mergeCell ref="BN15:BO16"/>
    <mergeCell ref="BJ17:BK18"/>
    <mergeCell ref="BJ15:BK16"/>
    <mergeCell ref="BJ13:BK14"/>
    <mergeCell ref="BJ35:BK36"/>
    <mergeCell ref="BJ33:BK34"/>
    <mergeCell ref="BJ31:BK32"/>
    <mergeCell ref="BJ21:BK22"/>
    <mergeCell ref="BJ29:BK30"/>
    <mergeCell ref="BJ27:BK28"/>
    <mergeCell ref="BJ25:BK26"/>
    <mergeCell ref="BJ43:BK44"/>
    <mergeCell ref="BJ41:BK42"/>
    <mergeCell ref="BJ39:BK40"/>
    <mergeCell ref="BJ37:BK38"/>
    <mergeCell ref="BF21:BG22"/>
    <mergeCell ref="BF19:BG20"/>
    <mergeCell ref="BF17:BG18"/>
    <mergeCell ref="BF15:BG16"/>
    <mergeCell ref="BB29:BC30"/>
    <mergeCell ref="BF43:BG44"/>
    <mergeCell ref="BF41:BG42"/>
    <mergeCell ref="BF39:BG40"/>
    <mergeCell ref="BF37:BG38"/>
    <mergeCell ref="BF35:BG36"/>
    <mergeCell ref="BF33:BG34"/>
    <mergeCell ref="BF31:BG32"/>
    <mergeCell ref="BF29:BG30"/>
    <mergeCell ref="BB37:BC38"/>
    <mergeCell ref="BB11:BC12"/>
    <mergeCell ref="BB9:BC10"/>
    <mergeCell ref="BB7:BC8"/>
    <mergeCell ref="BB21:BC22"/>
    <mergeCell ref="BB19:BC20"/>
    <mergeCell ref="BB17:BC18"/>
    <mergeCell ref="BB15:BC16"/>
    <mergeCell ref="BB13:BC14"/>
    <mergeCell ref="BJ23:BK24"/>
    <mergeCell ref="BF27:BG28"/>
    <mergeCell ref="BF23:BG24"/>
    <mergeCell ref="BF25:BG26"/>
    <mergeCell ref="BE7:BE44"/>
    <mergeCell ref="BI7:BI44"/>
    <mergeCell ref="BB27:BC28"/>
    <mergeCell ref="AX29:AY30"/>
    <mergeCell ref="AX27:AY28"/>
    <mergeCell ref="AX43:AY44"/>
    <mergeCell ref="AX41:AY42"/>
    <mergeCell ref="AX39:AY40"/>
    <mergeCell ref="AX37:AY38"/>
    <mergeCell ref="BB43:BC44"/>
    <mergeCell ref="BB41:BC42"/>
    <mergeCell ref="BB39:BC40"/>
    <mergeCell ref="AX15:AY16"/>
    <mergeCell ref="AX35:AY36"/>
    <mergeCell ref="AX33:AY34"/>
    <mergeCell ref="AX31:AY32"/>
    <mergeCell ref="BB35:BC36"/>
    <mergeCell ref="BB33:BC34"/>
    <mergeCell ref="BB31:BC32"/>
    <mergeCell ref="BB23:BC24"/>
    <mergeCell ref="AT35:AU36"/>
    <mergeCell ref="BB25:BC26"/>
    <mergeCell ref="BA7:BA44"/>
    <mergeCell ref="AX9:AY10"/>
    <mergeCell ref="AX7:AY8"/>
    <mergeCell ref="AX25:AY26"/>
    <mergeCell ref="AX23:AY24"/>
    <mergeCell ref="AX21:AY22"/>
    <mergeCell ref="AX19:AY20"/>
    <mergeCell ref="AX17:AY18"/>
    <mergeCell ref="AW7:AW44"/>
    <mergeCell ref="AT15:AU16"/>
    <mergeCell ref="AT17:AU18"/>
    <mergeCell ref="AT19:AU20"/>
    <mergeCell ref="AT21:AU22"/>
    <mergeCell ref="AT37:AU38"/>
    <mergeCell ref="AT23:AU24"/>
    <mergeCell ref="AT25:AU26"/>
    <mergeCell ref="AT27:AU28"/>
    <mergeCell ref="AT29:AU30"/>
    <mergeCell ref="AK13:AL14"/>
    <mergeCell ref="AK11:AL12"/>
    <mergeCell ref="AT13:AU14"/>
    <mergeCell ref="AP15:AQ16"/>
    <mergeCell ref="AP13:AQ14"/>
    <mergeCell ref="AK9:AL10"/>
    <mergeCell ref="AT7:AU8"/>
    <mergeCell ref="AT9:AU10"/>
    <mergeCell ref="AT11:AU12"/>
    <mergeCell ref="AP11:AQ12"/>
    <mergeCell ref="AP9:AQ10"/>
    <mergeCell ref="AK23:AL24"/>
    <mergeCell ref="AK21:AL22"/>
    <mergeCell ref="AK19:AL20"/>
    <mergeCell ref="AK17:AL18"/>
    <mergeCell ref="AK31:AL32"/>
    <mergeCell ref="AK29:AL30"/>
    <mergeCell ref="AK27:AL28"/>
    <mergeCell ref="AK25:AL26"/>
    <mergeCell ref="AP23:AQ24"/>
    <mergeCell ref="AP21:AQ22"/>
    <mergeCell ref="AP19:AQ20"/>
    <mergeCell ref="AP17:AQ18"/>
    <mergeCell ref="N34:P35"/>
    <mergeCell ref="N38:P39"/>
    <mergeCell ref="N36:P37"/>
    <mergeCell ref="D24:F25"/>
    <mergeCell ref="D38:F39"/>
    <mergeCell ref="D36:F37"/>
    <mergeCell ref="D34:F35"/>
    <mergeCell ref="D32:F33"/>
    <mergeCell ref="D30:F31"/>
    <mergeCell ref="D28:F29"/>
    <mergeCell ref="K36:M37"/>
    <mergeCell ref="H34:J35"/>
    <mergeCell ref="H36:J37"/>
    <mergeCell ref="H24:J25"/>
    <mergeCell ref="H26:J27"/>
    <mergeCell ref="H28:J29"/>
    <mergeCell ref="H30:J31"/>
    <mergeCell ref="R24:X25"/>
    <mergeCell ref="K38:M39"/>
    <mergeCell ref="S42:U43"/>
    <mergeCell ref="O42:Q43"/>
    <mergeCell ref="V42:X43"/>
    <mergeCell ref="B42:N43"/>
    <mergeCell ref="B38:C39"/>
    <mergeCell ref="H32:J33"/>
    <mergeCell ref="D26:F27"/>
    <mergeCell ref="K34:M35"/>
    <mergeCell ref="M4:P5"/>
    <mergeCell ref="U4:X5"/>
    <mergeCell ref="B8:E9"/>
    <mergeCell ref="N8:P9"/>
    <mergeCell ref="E4:H5"/>
    <mergeCell ref="B6:D7"/>
    <mergeCell ref="N6:P7"/>
    <mergeCell ref="E6:M7"/>
    <mergeCell ref="Q4:T5"/>
    <mergeCell ref="B58:N59"/>
    <mergeCell ref="B56:N57"/>
    <mergeCell ref="R26:X27"/>
    <mergeCell ref="R30:X31"/>
    <mergeCell ref="R34:X35"/>
    <mergeCell ref="R38:X39"/>
    <mergeCell ref="R36:X37"/>
    <mergeCell ref="R32:X33"/>
    <mergeCell ref="R28:X29"/>
    <mergeCell ref="V46:X47"/>
    <mergeCell ref="AN39:AO40"/>
    <mergeCell ref="AN37:AO38"/>
    <mergeCell ref="B52:N53"/>
    <mergeCell ref="B50:N51"/>
    <mergeCell ref="S48:U49"/>
    <mergeCell ref="S50:U51"/>
    <mergeCell ref="S44:U45"/>
    <mergeCell ref="B44:N45"/>
    <mergeCell ref="B46:N47"/>
    <mergeCell ref="B48:N49"/>
    <mergeCell ref="AC7:AJ8"/>
    <mergeCell ref="AN35:AO36"/>
    <mergeCell ref="AN33:AO34"/>
    <mergeCell ref="AN31:AO32"/>
    <mergeCell ref="AN29:AO30"/>
    <mergeCell ref="AN27:AO28"/>
    <mergeCell ref="AN25:AO26"/>
    <mergeCell ref="AN23:AO24"/>
    <mergeCell ref="AN21:AO22"/>
    <mergeCell ref="AN19:AO20"/>
    <mergeCell ref="AC15:AJ16"/>
    <mergeCell ref="AC13:AJ14"/>
    <mergeCell ref="AC43:AJ44"/>
    <mergeCell ref="AC41:AJ42"/>
    <mergeCell ref="AC39:AJ40"/>
    <mergeCell ref="AC37:AJ38"/>
    <mergeCell ref="AC35:AJ36"/>
    <mergeCell ref="AC17:AJ18"/>
    <mergeCell ref="AC9:AJ10"/>
    <mergeCell ref="AC11:AJ12"/>
    <mergeCell ref="AC33:AJ34"/>
    <mergeCell ref="AC31:AJ32"/>
    <mergeCell ref="AC29:AJ30"/>
    <mergeCell ref="AC27:AJ28"/>
    <mergeCell ref="AC25:AJ26"/>
    <mergeCell ref="AC23:AJ24"/>
    <mergeCell ref="AC21:AJ22"/>
    <mergeCell ref="AC19:AJ20"/>
    <mergeCell ref="AK5:AL6"/>
    <mergeCell ref="AN7:AO8"/>
    <mergeCell ref="AK7:AL8"/>
    <mergeCell ref="AN17:AO18"/>
    <mergeCell ref="AN15:AO16"/>
    <mergeCell ref="AN13:AO14"/>
    <mergeCell ref="AN11:AO12"/>
    <mergeCell ref="AN9:AO10"/>
    <mergeCell ref="AN5:AO6"/>
    <mergeCell ref="AK15:AL16"/>
    <mergeCell ref="AP33:AQ34"/>
    <mergeCell ref="AP31:AQ32"/>
    <mergeCell ref="AP27:AQ28"/>
    <mergeCell ref="AP29:AQ30"/>
    <mergeCell ref="V50:X51"/>
    <mergeCell ref="V48:X49"/>
    <mergeCell ref="AP5:AQ6"/>
    <mergeCell ref="AP7:AQ8"/>
    <mergeCell ref="AP43:AQ44"/>
    <mergeCell ref="AP41:AQ42"/>
    <mergeCell ref="AP39:AQ40"/>
    <mergeCell ref="AP37:AQ38"/>
    <mergeCell ref="AP35:AQ36"/>
    <mergeCell ref="M20:X21"/>
    <mergeCell ref="S46:U47"/>
    <mergeCell ref="S58:U59"/>
    <mergeCell ref="S56:U57"/>
    <mergeCell ref="S54:U55"/>
    <mergeCell ref="S52:U53"/>
    <mergeCell ref="M14:R15"/>
    <mergeCell ref="S14:X15"/>
    <mergeCell ref="S16:X17"/>
    <mergeCell ref="M16:R17"/>
    <mergeCell ref="B14:F15"/>
    <mergeCell ref="G14:L15"/>
    <mergeCell ref="B16:F17"/>
    <mergeCell ref="G16:L17"/>
    <mergeCell ref="G18:L19"/>
    <mergeCell ref="G20:L21"/>
    <mergeCell ref="B18:F19"/>
    <mergeCell ref="B20:F21"/>
    <mergeCell ref="M18:X19"/>
    <mergeCell ref="B2:H3"/>
    <mergeCell ref="I2:X3"/>
    <mergeCell ref="B10:G11"/>
    <mergeCell ref="H10:X11"/>
    <mergeCell ref="Q6:X7"/>
    <mergeCell ref="F8:M9"/>
    <mergeCell ref="Q8:X9"/>
    <mergeCell ref="B4:D5"/>
    <mergeCell ref="I4:L5"/>
    <mergeCell ref="B28:C29"/>
    <mergeCell ref="B24:C25"/>
    <mergeCell ref="K24:M25"/>
    <mergeCell ref="N24:P25"/>
    <mergeCell ref="N26:P27"/>
    <mergeCell ref="B26:C27"/>
    <mergeCell ref="K26:M27"/>
    <mergeCell ref="K28:M29"/>
    <mergeCell ref="N28:P29"/>
    <mergeCell ref="N30:P31"/>
    <mergeCell ref="B32:C33"/>
    <mergeCell ref="K30:M31"/>
    <mergeCell ref="K32:M33"/>
    <mergeCell ref="N32:P33"/>
    <mergeCell ref="B30:C31"/>
    <mergeCell ref="B34:C35"/>
    <mergeCell ref="B36:C37"/>
    <mergeCell ref="S66:U67"/>
    <mergeCell ref="S62:U63"/>
    <mergeCell ref="S60:U61"/>
    <mergeCell ref="O62:Q63"/>
    <mergeCell ref="O46:Q47"/>
    <mergeCell ref="O48:Q49"/>
    <mergeCell ref="O52:Q53"/>
    <mergeCell ref="O44:Q45"/>
    <mergeCell ref="AN43:AO44"/>
    <mergeCell ref="AN41:AO42"/>
    <mergeCell ref="V66:X67"/>
    <mergeCell ref="V64:X65"/>
    <mergeCell ref="V62:X63"/>
    <mergeCell ref="V60:X61"/>
    <mergeCell ref="V44:X45"/>
    <mergeCell ref="V58:X59"/>
    <mergeCell ref="V56:X57"/>
    <mergeCell ref="V54:X55"/>
    <mergeCell ref="O58:Q59"/>
    <mergeCell ref="B66:N67"/>
    <mergeCell ref="B64:N65"/>
    <mergeCell ref="AP25:AQ26"/>
    <mergeCell ref="AK43:AL44"/>
    <mergeCell ref="AK41:AL42"/>
    <mergeCell ref="AK39:AL40"/>
    <mergeCell ref="AK37:AL38"/>
    <mergeCell ref="AK35:AL36"/>
    <mergeCell ref="AK33:AL34"/>
    <mergeCell ref="H38:J39"/>
    <mergeCell ref="O50:Q51"/>
    <mergeCell ref="O54:Q55"/>
    <mergeCell ref="O56:Q57"/>
    <mergeCell ref="B54:N55"/>
    <mergeCell ref="W111:Y113"/>
    <mergeCell ref="O60:Q61"/>
    <mergeCell ref="O64:Q65"/>
    <mergeCell ref="O66:Q67"/>
    <mergeCell ref="S64:U65"/>
    <mergeCell ref="X82:Y83"/>
    <mergeCell ref="M77:S78"/>
    <mergeCell ref="Q93:U94"/>
    <mergeCell ref="Q84:S85"/>
    <mergeCell ref="K90:P92"/>
    <mergeCell ref="Q103:R104"/>
    <mergeCell ref="B114:B116"/>
    <mergeCell ref="C114:P116"/>
    <mergeCell ref="Q114:S116"/>
    <mergeCell ref="B111:B113"/>
    <mergeCell ref="C111:P113"/>
    <mergeCell ref="Q111:S113"/>
    <mergeCell ref="B103:I104"/>
    <mergeCell ref="K103:P104"/>
    <mergeCell ref="Z129:AB131"/>
    <mergeCell ref="Q120:S122"/>
    <mergeCell ref="T120:V122"/>
    <mergeCell ref="W120:Y122"/>
    <mergeCell ref="Z120:AB122"/>
    <mergeCell ref="T123:V125"/>
    <mergeCell ref="W123:Y125"/>
    <mergeCell ref="Q123:S125"/>
    <mergeCell ref="W126:Y128"/>
    <mergeCell ref="Z126:AB128"/>
  </mergeCells>
  <conditionalFormatting sqref="R26">
    <cfRule type="expression" priority="1" dxfId="0" stopIfTrue="1">
      <formula>$R$26&lt;$S$44/2</formula>
    </cfRule>
    <cfRule type="expression" priority="2" dxfId="1" stopIfTrue="1">
      <formula>$R$26&lt;$S$44/4</formula>
    </cfRule>
  </conditionalFormatting>
  <printOptions horizontalCentered="1"/>
  <pageMargins left="0.25" right="0.25" top="0.75" bottom="0.25" header="0.25" footer="0.25"/>
  <pageSetup fitToHeight="1" fitToWidth="1" horizontalDpi="600" verticalDpi="600" orientation="landscape" scale="51" r:id="rId3"/>
  <headerFooter alignWithMargins="0">
    <oddHeader>&amp;C&amp;20FALLOUT PNP RPG - ЛИСТ ПЕРСОНАЖА - ЧАСТЬ 1</oddHead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32"/>
  <sheetViews>
    <sheetView showGridLines="0" zoomScale="92" zoomScaleNormal="92" workbookViewId="0" topLeftCell="A1">
      <selection activeCell="Z14" sqref="Z14"/>
    </sheetView>
  </sheetViews>
  <sheetFormatPr defaultColWidth="9.140625" defaultRowHeight="7.5" customHeight="1"/>
  <cols>
    <col min="1" max="5" width="2.7109375" style="10" customWidth="1"/>
    <col min="6" max="6" width="2.7109375" style="11" customWidth="1"/>
    <col min="7" max="48" width="2.7109375" style="10" customWidth="1"/>
    <col min="49" max="49" width="3.7109375" style="10" customWidth="1"/>
    <col min="50" max="51" width="2.7109375" style="10" customWidth="1"/>
    <col min="52" max="52" width="3.8515625" style="10" customWidth="1"/>
    <col min="53" max="16384" width="2.7109375" style="10" customWidth="1"/>
  </cols>
  <sheetData>
    <row r="1" spans="1:81" ht="7.5" customHeight="1" thickBot="1">
      <c r="A1" s="9"/>
      <c r="B1" s="12"/>
      <c r="C1" s="12"/>
      <c r="D1" s="12"/>
      <c r="E1" s="12"/>
      <c r="F1" s="27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8"/>
      <c r="Z1" s="34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39"/>
      <c r="AU1" s="12"/>
      <c r="AV1" s="12"/>
      <c r="AW1" s="40"/>
      <c r="AX1" s="40"/>
      <c r="AY1" s="40"/>
      <c r="AZ1" s="40"/>
      <c r="BA1" s="40"/>
      <c r="BB1" s="40"/>
      <c r="BC1" s="40"/>
      <c r="BD1" s="40"/>
      <c r="BE1" s="12"/>
      <c r="BF1" s="12"/>
      <c r="BG1" s="12"/>
      <c r="BH1" s="40"/>
      <c r="BI1" s="40"/>
      <c r="BJ1" s="12"/>
      <c r="BK1" s="12"/>
      <c r="BL1" s="12"/>
      <c r="BM1" s="12"/>
      <c r="BN1" s="12"/>
      <c r="BO1" s="12"/>
      <c r="BP1" s="12"/>
      <c r="BQ1" s="28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</row>
    <row r="2" spans="1:70" ht="7.5" customHeight="1" thickBot="1">
      <c r="A2" s="16"/>
      <c r="B2" s="484" t="s">
        <v>64</v>
      </c>
      <c r="C2" s="484"/>
      <c r="D2" s="484"/>
      <c r="E2" s="484"/>
      <c r="F2" s="484"/>
      <c r="G2" s="484"/>
      <c r="H2" s="484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29"/>
      <c r="Z2" s="19"/>
      <c r="AA2" s="189" t="s">
        <v>931</v>
      </c>
      <c r="AB2" s="190"/>
      <c r="AC2" s="190"/>
      <c r="AD2" s="190"/>
      <c r="AE2" s="190"/>
      <c r="AF2" s="193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2"/>
      <c r="AS2" s="13"/>
      <c r="AT2" s="13"/>
      <c r="AU2" s="13"/>
      <c r="AV2" s="13"/>
      <c r="AW2" s="13"/>
      <c r="AX2" s="14"/>
      <c r="AY2" s="14"/>
      <c r="AZ2" s="14"/>
      <c r="BA2" s="14"/>
      <c r="BB2" s="14"/>
      <c r="BC2" s="13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3"/>
      <c r="BQ2" s="29"/>
      <c r="BR2" s="13"/>
    </row>
    <row r="3" spans="1:70" ht="7.5" customHeight="1" thickBot="1">
      <c r="A3" s="16"/>
      <c r="B3" s="484"/>
      <c r="C3" s="484"/>
      <c r="D3" s="484"/>
      <c r="E3" s="484"/>
      <c r="F3" s="484"/>
      <c r="G3" s="484"/>
      <c r="H3" s="484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29"/>
      <c r="Z3" s="19"/>
      <c r="AA3" s="191"/>
      <c r="AB3" s="192"/>
      <c r="AC3" s="192"/>
      <c r="AD3" s="192"/>
      <c r="AE3" s="192"/>
      <c r="AF3" s="503"/>
      <c r="AG3" s="504"/>
      <c r="AH3" s="504"/>
      <c r="AI3" s="504"/>
      <c r="AJ3" s="504"/>
      <c r="AK3" s="504"/>
      <c r="AL3" s="504"/>
      <c r="AM3" s="504"/>
      <c r="AN3" s="504"/>
      <c r="AO3" s="504"/>
      <c r="AP3" s="504"/>
      <c r="AQ3" s="504"/>
      <c r="AR3" s="505"/>
      <c r="AS3" s="13"/>
      <c r="AT3" s="415" t="s">
        <v>274</v>
      </c>
      <c r="AU3" s="416"/>
      <c r="AV3" s="13"/>
      <c r="AW3" s="423" t="s">
        <v>305</v>
      </c>
      <c r="AX3" s="424"/>
      <c r="AY3" s="425"/>
      <c r="AZ3" s="14"/>
      <c r="BA3" s="423" t="s">
        <v>113</v>
      </c>
      <c r="BB3" s="424"/>
      <c r="BC3" s="424"/>
      <c r="BD3" s="424"/>
      <c r="BE3" s="424"/>
      <c r="BF3" s="424"/>
      <c r="BG3" s="425"/>
      <c r="BH3" s="14"/>
      <c r="BI3" s="423" t="s">
        <v>306</v>
      </c>
      <c r="BJ3" s="424"/>
      <c r="BK3" s="424"/>
      <c r="BL3" s="424"/>
      <c r="BM3" s="424"/>
      <c r="BN3" s="424"/>
      <c r="BO3" s="425"/>
      <c r="BP3" s="13"/>
      <c r="BQ3" s="29"/>
      <c r="BR3" s="13"/>
    </row>
    <row r="4" spans="1:70" ht="7.5" customHeight="1" thickBot="1">
      <c r="A4" s="16"/>
      <c r="B4" s="377" t="s">
        <v>65</v>
      </c>
      <c r="C4" s="377"/>
      <c r="D4" s="377"/>
      <c r="E4" s="227"/>
      <c r="F4" s="227"/>
      <c r="G4" s="227"/>
      <c r="H4" s="227"/>
      <c r="I4" s="377" t="s">
        <v>66</v>
      </c>
      <c r="J4" s="377"/>
      <c r="K4" s="377"/>
      <c r="L4" s="377"/>
      <c r="M4" s="413"/>
      <c r="N4" s="413"/>
      <c r="O4" s="413"/>
      <c r="P4" s="413"/>
      <c r="Q4" s="377" t="s">
        <v>70</v>
      </c>
      <c r="R4" s="377"/>
      <c r="S4" s="377"/>
      <c r="T4" s="377"/>
      <c r="U4" s="413"/>
      <c r="V4" s="413"/>
      <c r="W4" s="413"/>
      <c r="X4" s="413"/>
      <c r="Y4" s="29"/>
      <c r="Z4" s="19"/>
      <c r="AA4" s="15"/>
      <c r="AB4" s="15"/>
      <c r="AC4" s="15"/>
      <c r="AD4" s="15"/>
      <c r="AE4" s="15"/>
      <c r="AF4" s="15"/>
      <c r="AG4" s="15"/>
      <c r="AH4" s="15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417"/>
      <c r="AU4" s="418"/>
      <c r="AV4" s="13"/>
      <c r="AW4" s="426"/>
      <c r="AX4" s="427"/>
      <c r="AY4" s="428"/>
      <c r="AZ4" s="13"/>
      <c r="BA4" s="426"/>
      <c r="BB4" s="427"/>
      <c r="BC4" s="427"/>
      <c r="BD4" s="427"/>
      <c r="BE4" s="427"/>
      <c r="BF4" s="427"/>
      <c r="BG4" s="428"/>
      <c r="BH4" s="13"/>
      <c r="BI4" s="426"/>
      <c r="BJ4" s="427"/>
      <c r="BK4" s="427"/>
      <c r="BL4" s="427"/>
      <c r="BM4" s="427"/>
      <c r="BN4" s="427"/>
      <c r="BO4" s="428"/>
      <c r="BP4" s="13"/>
      <c r="BQ4" s="29"/>
      <c r="BR4" s="13"/>
    </row>
    <row r="5" spans="1:70" ht="7.5" customHeight="1">
      <c r="A5" s="16"/>
      <c r="B5" s="377"/>
      <c r="C5" s="377"/>
      <c r="D5" s="377"/>
      <c r="E5" s="227"/>
      <c r="F5" s="227"/>
      <c r="G5" s="227"/>
      <c r="H5" s="227"/>
      <c r="I5" s="377"/>
      <c r="J5" s="377"/>
      <c r="K5" s="377"/>
      <c r="L5" s="377"/>
      <c r="M5" s="413"/>
      <c r="N5" s="413"/>
      <c r="O5" s="413"/>
      <c r="P5" s="413"/>
      <c r="Q5" s="377"/>
      <c r="R5" s="377"/>
      <c r="S5" s="377"/>
      <c r="T5" s="377"/>
      <c r="U5" s="413"/>
      <c r="V5" s="413"/>
      <c r="W5" s="413"/>
      <c r="X5" s="413"/>
      <c r="Y5" s="29"/>
      <c r="Z5" s="19"/>
      <c r="AA5" s="17"/>
      <c r="AB5" s="17"/>
      <c r="AC5" s="419" t="s">
        <v>73</v>
      </c>
      <c r="AD5" s="420"/>
      <c r="AE5" s="420"/>
      <c r="AF5" s="420"/>
      <c r="AG5" s="420"/>
      <c r="AH5" s="420"/>
      <c r="AI5" s="420"/>
      <c r="AJ5" s="420"/>
      <c r="AK5" s="474" t="s">
        <v>222</v>
      </c>
      <c r="AL5" s="475"/>
      <c r="AM5" s="13"/>
      <c r="AN5" s="415" t="s">
        <v>74</v>
      </c>
      <c r="AO5" s="442"/>
      <c r="AP5" s="479" t="s">
        <v>8</v>
      </c>
      <c r="AQ5" s="416"/>
      <c r="AR5" s="13"/>
      <c r="AS5" s="13"/>
      <c r="AT5" s="409" t="s">
        <v>275</v>
      </c>
      <c r="AU5" s="410"/>
      <c r="AV5" s="13"/>
      <c r="AW5" s="429">
        <f>IF(M20&gt;0,M20*(B16-1),0)</f>
        <v>0</v>
      </c>
      <c r="AX5" s="429"/>
      <c r="AY5" s="429"/>
      <c r="AZ5" s="5"/>
      <c r="BA5" s="431">
        <f>SUM(AX7:AY44,BB7:BC44,BF7:BG44,BJ7:BK44,BN7:BO44)</f>
        <v>0</v>
      </c>
      <c r="BB5" s="431"/>
      <c r="BC5" s="431"/>
      <c r="BD5" s="431"/>
      <c r="BE5" s="431"/>
      <c r="BF5" s="431"/>
      <c r="BG5" s="431"/>
      <c r="BH5" s="5"/>
      <c r="BI5" s="431">
        <f>AW5-BA5</f>
        <v>0</v>
      </c>
      <c r="BJ5" s="431"/>
      <c r="BK5" s="431"/>
      <c r="BL5" s="431"/>
      <c r="BM5" s="431"/>
      <c r="BN5" s="431"/>
      <c r="BO5" s="431"/>
      <c r="BP5" s="13"/>
      <c r="BQ5" s="29"/>
      <c r="BR5" s="13"/>
    </row>
    <row r="6" spans="1:70" ht="9" customHeight="1" thickBot="1">
      <c r="A6" s="16"/>
      <c r="B6" s="377" t="s">
        <v>68</v>
      </c>
      <c r="C6" s="377"/>
      <c r="D6" s="377"/>
      <c r="E6" s="466"/>
      <c r="F6" s="466"/>
      <c r="G6" s="466"/>
      <c r="H6" s="466"/>
      <c r="I6" s="466"/>
      <c r="J6" s="466"/>
      <c r="K6" s="466"/>
      <c r="L6" s="466"/>
      <c r="M6" s="466"/>
      <c r="N6" s="377" t="s">
        <v>69</v>
      </c>
      <c r="O6" s="377"/>
      <c r="P6" s="377"/>
      <c r="Q6" s="407"/>
      <c r="R6" s="407"/>
      <c r="S6" s="407"/>
      <c r="T6" s="407"/>
      <c r="U6" s="407"/>
      <c r="V6" s="407"/>
      <c r="W6" s="407"/>
      <c r="X6" s="407"/>
      <c r="Y6" s="29"/>
      <c r="Z6" s="19"/>
      <c r="AA6" s="17"/>
      <c r="AB6" s="17"/>
      <c r="AC6" s="421"/>
      <c r="AD6" s="422"/>
      <c r="AE6" s="422"/>
      <c r="AF6" s="422"/>
      <c r="AG6" s="422"/>
      <c r="AH6" s="422"/>
      <c r="AI6" s="422"/>
      <c r="AJ6" s="422"/>
      <c r="AK6" s="476"/>
      <c r="AL6" s="477"/>
      <c r="AM6" s="13"/>
      <c r="AN6" s="443"/>
      <c r="AO6" s="444"/>
      <c r="AP6" s="480"/>
      <c r="AQ6" s="418"/>
      <c r="AR6" s="13"/>
      <c r="AS6" s="13"/>
      <c r="AT6" s="411"/>
      <c r="AU6" s="412"/>
      <c r="AV6" s="13"/>
      <c r="AW6" s="430"/>
      <c r="AX6" s="430"/>
      <c r="AY6" s="430"/>
      <c r="AZ6" s="5"/>
      <c r="BA6" s="432"/>
      <c r="BB6" s="432"/>
      <c r="BC6" s="432"/>
      <c r="BD6" s="432"/>
      <c r="BE6" s="432"/>
      <c r="BF6" s="432"/>
      <c r="BG6" s="432"/>
      <c r="BH6" s="5"/>
      <c r="BI6" s="432"/>
      <c r="BJ6" s="432"/>
      <c r="BK6" s="432"/>
      <c r="BL6" s="432"/>
      <c r="BM6" s="432"/>
      <c r="BN6" s="432"/>
      <c r="BO6" s="432"/>
      <c r="BP6" s="13"/>
      <c r="BQ6" s="29"/>
      <c r="BR6" s="13"/>
    </row>
    <row r="7" spans="1:70" ht="8.25" customHeight="1">
      <c r="A7" s="16"/>
      <c r="B7" s="377"/>
      <c r="C7" s="377"/>
      <c r="D7" s="377"/>
      <c r="E7" s="466"/>
      <c r="F7" s="466"/>
      <c r="G7" s="466"/>
      <c r="H7" s="466"/>
      <c r="I7" s="466"/>
      <c r="J7" s="466"/>
      <c r="K7" s="466"/>
      <c r="L7" s="466"/>
      <c r="M7" s="466"/>
      <c r="N7" s="377"/>
      <c r="O7" s="377"/>
      <c r="P7" s="377"/>
      <c r="Q7" s="407"/>
      <c r="R7" s="407"/>
      <c r="S7" s="407"/>
      <c r="T7" s="407"/>
      <c r="U7" s="407"/>
      <c r="V7" s="407"/>
      <c r="W7" s="407"/>
      <c r="X7" s="407"/>
      <c r="Y7" s="29"/>
      <c r="Z7" s="19"/>
      <c r="AA7" s="15"/>
      <c r="AB7" s="15"/>
      <c r="AC7" s="286" t="s">
        <v>256</v>
      </c>
      <c r="AD7" s="286"/>
      <c r="AE7" s="286"/>
      <c r="AF7" s="286"/>
      <c r="AG7" s="286"/>
      <c r="AH7" s="286"/>
      <c r="AI7" s="286"/>
      <c r="AJ7" s="286"/>
      <c r="AK7" s="478">
        <f>SUM(AN7:AQ8)+IF(Таблицы!AW35=1,Таблицы!AW32,0)+AT7</f>
        <v>25</v>
      </c>
      <c r="AL7" s="478"/>
      <c r="AM7" s="13"/>
      <c r="AN7" s="287">
        <f>IF(D36=0,"",5+(D36*4)+Таблицы!M97+Таблицы!U97)</f>
        <v>25</v>
      </c>
      <c r="AO7" s="287"/>
      <c r="AP7" s="481"/>
      <c r="AQ7" s="481"/>
      <c r="AR7" s="13"/>
      <c r="AS7" s="13"/>
      <c r="AT7" s="287">
        <f>IF(Таблицы!M97=20,SUM(AX7*2,BB7*2/2,INT(BF7*2/3),INT(BJ7*2/4),INT(BN7*2/5)),SUM(AX7,INT(BB7/2),INT(BF7/3),INT(BJ7/4),INT(BN7/5)))</f>
        <v>0</v>
      </c>
      <c r="AU7" s="287"/>
      <c r="AV7" s="13"/>
      <c r="AW7" s="433" t="s">
        <v>108</v>
      </c>
      <c r="AX7" s="414"/>
      <c r="AY7" s="414"/>
      <c r="AZ7" s="13"/>
      <c r="BA7" s="433" t="s">
        <v>109</v>
      </c>
      <c r="BB7" s="414"/>
      <c r="BC7" s="414"/>
      <c r="BD7" s="13"/>
      <c r="BE7" s="433" t="s">
        <v>110</v>
      </c>
      <c r="BF7" s="414"/>
      <c r="BG7" s="414"/>
      <c r="BH7" s="13"/>
      <c r="BI7" s="433" t="s">
        <v>111</v>
      </c>
      <c r="BJ7" s="414"/>
      <c r="BK7" s="414"/>
      <c r="BL7" s="13"/>
      <c r="BM7" s="433" t="s">
        <v>112</v>
      </c>
      <c r="BN7" s="414"/>
      <c r="BO7" s="414"/>
      <c r="BP7" s="13"/>
      <c r="BQ7" s="29"/>
      <c r="BR7" s="13"/>
    </row>
    <row r="8" spans="1:70" ht="7.5" customHeight="1">
      <c r="A8" s="16"/>
      <c r="B8" s="377" t="s">
        <v>71</v>
      </c>
      <c r="C8" s="377"/>
      <c r="D8" s="377"/>
      <c r="E8" s="377"/>
      <c r="F8" s="466"/>
      <c r="G8" s="466"/>
      <c r="H8" s="466"/>
      <c r="I8" s="466"/>
      <c r="J8" s="466"/>
      <c r="K8" s="466"/>
      <c r="L8" s="466"/>
      <c r="M8" s="466"/>
      <c r="N8" s="377" t="s">
        <v>67</v>
      </c>
      <c r="O8" s="377"/>
      <c r="P8" s="377"/>
      <c r="Q8" s="466"/>
      <c r="R8" s="466"/>
      <c r="S8" s="466"/>
      <c r="T8" s="466"/>
      <c r="U8" s="466"/>
      <c r="V8" s="466"/>
      <c r="W8" s="466"/>
      <c r="X8" s="466"/>
      <c r="Y8" s="29"/>
      <c r="Z8" s="19"/>
      <c r="AA8" s="15"/>
      <c r="AB8" s="15"/>
      <c r="AC8" s="172"/>
      <c r="AD8" s="172"/>
      <c r="AE8" s="172"/>
      <c r="AF8" s="172"/>
      <c r="AG8" s="172"/>
      <c r="AH8" s="172"/>
      <c r="AI8" s="172"/>
      <c r="AJ8" s="172"/>
      <c r="AK8" s="435"/>
      <c r="AL8" s="435"/>
      <c r="AM8" s="13"/>
      <c r="AN8" s="228"/>
      <c r="AO8" s="228"/>
      <c r="AP8" s="436"/>
      <c r="AQ8" s="436"/>
      <c r="AR8" s="15"/>
      <c r="AS8" s="15"/>
      <c r="AT8" s="228"/>
      <c r="AU8" s="228"/>
      <c r="AV8" s="13"/>
      <c r="AW8" s="434"/>
      <c r="AX8" s="413"/>
      <c r="AY8" s="413"/>
      <c r="AZ8" s="13"/>
      <c r="BA8" s="434"/>
      <c r="BB8" s="413"/>
      <c r="BC8" s="413"/>
      <c r="BD8" s="13"/>
      <c r="BE8" s="434"/>
      <c r="BF8" s="413"/>
      <c r="BG8" s="413"/>
      <c r="BH8" s="13"/>
      <c r="BI8" s="434"/>
      <c r="BJ8" s="413"/>
      <c r="BK8" s="413"/>
      <c r="BL8" s="13"/>
      <c r="BM8" s="434"/>
      <c r="BN8" s="413"/>
      <c r="BO8" s="413"/>
      <c r="BP8" s="13"/>
      <c r="BQ8" s="29"/>
      <c r="BR8" s="13"/>
    </row>
    <row r="9" spans="1:70" ht="7.5" customHeight="1">
      <c r="A9" s="16"/>
      <c r="B9" s="377"/>
      <c r="C9" s="377"/>
      <c r="D9" s="377"/>
      <c r="E9" s="377"/>
      <c r="F9" s="466"/>
      <c r="G9" s="466"/>
      <c r="H9" s="466"/>
      <c r="I9" s="466"/>
      <c r="J9" s="466"/>
      <c r="K9" s="466"/>
      <c r="L9" s="466"/>
      <c r="M9" s="466"/>
      <c r="N9" s="377"/>
      <c r="O9" s="377"/>
      <c r="P9" s="377"/>
      <c r="Q9" s="466"/>
      <c r="R9" s="466"/>
      <c r="S9" s="466"/>
      <c r="T9" s="466"/>
      <c r="U9" s="466"/>
      <c r="V9" s="466"/>
      <c r="W9" s="466"/>
      <c r="X9" s="466"/>
      <c r="Y9" s="29"/>
      <c r="Z9" s="19"/>
      <c r="AA9" s="15"/>
      <c r="AB9" s="15"/>
      <c r="AC9" s="172" t="s">
        <v>255</v>
      </c>
      <c r="AD9" s="172"/>
      <c r="AE9" s="172"/>
      <c r="AF9" s="172"/>
      <c r="AG9" s="172"/>
      <c r="AH9" s="172"/>
      <c r="AI9" s="172"/>
      <c r="AJ9" s="172"/>
      <c r="AK9" s="435">
        <f>SUM(AN9:AQ10)+IF(Таблицы!AW35=2,Таблицы!AW32,0)+AT9</f>
        <v>10</v>
      </c>
      <c r="AL9" s="435"/>
      <c r="AM9" s="13"/>
      <c r="AN9" s="228">
        <f>IF(D36=0,"",(D36*2)+Таблицы!M98+Таблицы!U98)</f>
        <v>10</v>
      </c>
      <c r="AO9" s="228"/>
      <c r="AP9" s="436"/>
      <c r="AQ9" s="436"/>
      <c r="AR9" s="13"/>
      <c r="AS9" s="13"/>
      <c r="AT9" s="287">
        <f>IF(Таблицы!M98=20,SUM(AX9*2,BB9*2/2,INT(BF9*2/3),INT(BJ9*2/4),INT(BN9*2/5)),SUM(AX9,INT(BB9/2),INT(BF9/3),INT(BJ9/4),INT(BN9/5)))</f>
        <v>0</v>
      </c>
      <c r="AU9" s="287"/>
      <c r="AV9" s="13"/>
      <c r="AW9" s="434"/>
      <c r="AX9" s="413"/>
      <c r="AY9" s="413"/>
      <c r="AZ9" s="13"/>
      <c r="BA9" s="434"/>
      <c r="BB9" s="413"/>
      <c r="BC9" s="413"/>
      <c r="BD9" s="13"/>
      <c r="BE9" s="434"/>
      <c r="BF9" s="413"/>
      <c r="BG9" s="413"/>
      <c r="BH9" s="13"/>
      <c r="BI9" s="434"/>
      <c r="BJ9" s="413"/>
      <c r="BK9" s="413"/>
      <c r="BL9" s="13"/>
      <c r="BM9" s="434"/>
      <c r="BN9" s="413"/>
      <c r="BO9" s="413"/>
      <c r="BP9" s="13"/>
      <c r="BQ9" s="29"/>
      <c r="BR9" s="13"/>
    </row>
    <row r="10" spans="1:70" ht="7.5" customHeight="1">
      <c r="A10" s="16"/>
      <c r="B10" s="377" t="s">
        <v>221</v>
      </c>
      <c r="C10" s="377"/>
      <c r="D10" s="377"/>
      <c r="E10" s="377"/>
      <c r="F10" s="377"/>
      <c r="G10" s="377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29"/>
      <c r="Z10" s="19"/>
      <c r="AA10" s="15"/>
      <c r="AB10" s="15"/>
      <c r="AC10" s="172"/>
      <c r="AD10" s="172"/>
      <c r="AE10" s="172"/>
      <c r="AF10" s="172"/>
      <c r="AG10" s="172"/>
      <c r="AH10" s="172"/>
      <c r="AI10" s="172"/>
      <c r="AJ10" s="172"/>
      <c r="AK10" s="435"/>
      <c r="AL10" s="435"/>
      <c r="AM10" s="13"/>
      <c r="AN10" s="228"/>
      <c r="AO10" s="228"/>
      <c r="AP10" s="436"/>
      <c r="AQ10" s="436"/>
      <c r="AR10" s="15"/>
      <c r="AS10" s="13"/>
      <c r="AT10" s="228"/>
      <c r="AU10" s="228"/>
      <c r="AV10" s="13"/>
      <c r="AW10" s="434"/>
      <c r="AX10" s="413"/>
      <c r="AY10" s="413"/>
      <c r="AZ10" s="13"/>
      <c r="BA10" s="434"/>
      <c r="BB10" s="413"/>
      <c r="BC10" s="413"/>
      <c r="BD10" s="13"/>
      <c r="BE10" s="434"/>
      <c r="BF10" s="413"/>
      <c r="BG10" s="413"/>
      <c r="BH10" s="13"/>
      <c r="BI10" s="434"/>
      <c r="BJ10" s="413"/>
      <c r="BK10" s="413"/>
      <c r="BL10" s="13"/>
      <c r="BM10" s="434"/>
      <c r="BN10" s="413"/>
      <c r="BO10" s="413"/>
      <c r="BP10" s="13"/>
      <c r="BQ10" s="29"/>
      <c r="BR10" s="13"/>
    </row>
    <row r="11" spans="1:70" ht="7.5" customHeight="1">
      <c r="A11" s="16"/>
      <c r="B11" s="377"/>
      <c r="C11" s="377"/>
      <c r="D11" s="377"/>
      <c r="E11" s="377"/>
      <c r="F11" s="377"/>
      <c r="G11" s="377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29"/>
      <c r="Z11" s="19"/>
      <c r="AA11" s="15"/>
      <c r="AB11" s="15"/>
      <c r="AC11" s="172" t="s">
        <v>77</v>
      </c>
      <c r="AD11" s="172"/>
      <c r="AE11" s="172"/>
      <c r="AF11" s="172"/>
      <c r="AG11" s="172"/>
      <c r="AH11" s="172"/>
      <c r="AI11" s="172"/>
      <c r="AJ11" s="172"/>
      <c r="AK11" s="435">
        <f>SUM(AN11:AQ12)+IF(Таблицы!AW35=3,Таблицы!AW32,0)+AT11</f>
        <v>10</v>
      </c>
      <c r="AL11" s="435"/>
      <c r="AM11" s="13"/>
      <c r="AN11" s="228">
        <f>IF(D36=0,"",(D36*2)+Таблицы!M99+Таблицы!U99)</f>
        <v>10</v>
      </c>
      <c r="AO11" s="228"/>
      <c r="AP11" s="436"/>
      <c r="AQ11" s="436"/>
      <c r="AR11" s="13"/>
      <c r="AS11" s="13"/>
      <c r="AT11" s="287">
        <f>IF(Таблицы!M99=20,SUM(AX11*2,BB11*2/2,INT(BF11*2/3),INT(BJ11*2/4),INT(BN11*2/5)),SUM(AX11,INT(BB11/2),INT(BF11/3),INT(BJ11/4),INT(BN11/5)))</f>
        <v>0</v>
      </c>
      <c r="AU11" s="287"/>
      <c r="AV11" s="13"/>
      <c r="AW11" s="434"/>
      <c r="AX11" s="413"/>
      <c r="AY11" s="413"/>
      <c r="AZ11" s="13"/>
      <c r="BA11" s="434"/>
      <c r="BB11" s="413"/>
      <c r="BC11" s="413"/>
      <c r="BD11" s="13"/>
      <c r="BE11" s="434"/>
      <c r="BF11" s="413"/>
      <c r="BG11" s="413"/>
      <c r="BH11" s="13"/>
      <c r="BI11" s="434"/>
      <c r="BJ11" s="413"/>
      <c r="BK11" s="413"/>
      <c r="BL11" s="13"/>
      <c r="BM11" s="434"/>
      <c r="BN11" s="413"/>
      <c r="BO11" s="413"/>
      <c r="BP11" s="13"/>
      <c r="BQ11" s="29"/>
      <c r="BR11" s="13"/>
    </row>
    <row r="12" spans="1:70" ht="7.5" customHeight="1">
      <c r="A12" s="69"/>
      <c r="B12" s="46"/>
      <c r="C12" s="46"/>
      <c r="D12" s="46"/>
      <c r="E12" s="46"/>
      <c r="F12" s="68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70"/>
      <c r="Z12" s="41"/>
      <c r="AA12" s="15"/>
      <c r="AB12" s="15"/>
      <c r="AC12" s="172"/>
      <c r="AD12" s="172"/>
      <c r="AE12" s="172"/>
      <c r="AF12" s="172"/>
      <c r="AG12" s="172"/>
      <c r="AH12" s="172"/>
      <c r="AI12" s="172"/>
      <c r="AJ12" s="172"/>
      <c r="AK12" s="435"/>
      <c r="AL12" s="435"/>
      <c r="AM12" s="13"/>
      <c r="AN12" s="228"/>
      <c r="AO12" s="228"/>
      <c r="AP12" s="436"/>
      <c r="AQ12" s="436"/>
      <c r="AR12" s="15"/>
      <c r="AS12" s="13"/>
      <c r="AT12" s="228"/>
      <c r="AU12" s="228"/>
      <c r="AV12" s="13"/>
      <c r="AW12" s="434"/>
      <c r="AX12" s="413"/>
      <c r="AY12" s="413"/>
      <c r="AZ12" s="13"/>
      <c r="BA12" s="434"/>
      <c r="BB12" s="413"/>
      <c r="BC12" s="413"/>
      <c r="BD12" s="13"/>
      <c r="BE12" s="434"/>
      <c r="BF12" s="413"/>
      <c r="BG12" s="413"/>
      <c r="BH12" s="13"/>
      <c r="BI12" s="434"/>
      <c r="BJ12" s="413"/>
      <c r="BK12" s="413"/>
      <c r="BL12" s="13"/>
      <c r="BM12" s="434"/>
      <c r="BN12" s="413"/>
      <c r="BO12" s="413"/>
      <c r="BP12" s="13"/>
      <c r="BQ12" s="29"/>
      <c r="BR12" s="13"/>
    </row>
    <row r="13" spans="1:70" ht="7.5" customHeight="1" thickBot="1">
      <c r="A13" s="16"/>
      <c r="B13" s="13"/>
      <c r="C13" s="13"/>
      <c r="D13" s="13"/>
      <c r="E13" s="13"/>
      <c r="F13" s="35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36"/>
      <c r="Z13" s="41"/>
      <c r="AA13" s="15"/>
      <c r="AB13" s="15"/>
      <c r="AC13" s="172" t="s">
        <v>76</v>
      </c>
      <c r="AD13" s="172"/>
      <c r="AE13" s="172"/>
      <c r="AF13" s="172"/>
      <c r="AG13" s="172"/>
      <c r="AH13" s="172"/>
      <c r="AI13" s="172"/>
      <c r="AJ13" s="172"/>
      <c r="AK13" s="435">
        <f>SUM(AN13:AQ14)+IF(Таблицы!AW35=4,Таблицы!AW32,0)+AT13</f>
        <v>50</v>
      </c>
      <c r="AL13" s="435"/>
      <c r="AM13" s="13"/>
      <c r="AN13" s="228">
        <f>IF(D36=0,"",30+(2*SUM(D36,D26)+Таблицы!M100+Таблицы!U100))</f>
        <v>50</v>
      </c>
      <c r="AO13" s="228"/>
      <c r="AP13" s="436"/>
      <c r="AQ13" s="436"/>
      <c r="AR13" s="13"/>
      <c r="AS13" s="13"/>
      <c r="AT13" s="287">
        <f>IF(Таблицы!M100=20,SUM(AX13*2,BB13*2/2,INT(BF13*2/3),INT(BJ13*2/4),INT(BN13*2/5)),SUM(AX13,INT(BB13/2),INT(BF13/3),INT(BJ13/4),INT(BN13/5)))</f>
        <v>0</v>
      </c>
      <c r="AU13" s="287"/>
      <c r="AV13" s="13"/>
      <c r="AW13" s="434"/>
      <c r="AX13" s="413"/>
      <c r="AY13" s="413"/>
      <c r="AZ13" s="13"/>
      <c r="BA13" s="434"/>
      <c r="BB13" s="413"/>
      <c r="BC13" s="413"/>
      <c r="BD13" s="13"/>
      <c r="BE13" s="434"/>
      <c r="BF13" s="413"/>
      <c r="BG13" s="413"/>
      <c r="BH13" s="13"/>
      <c r="BI13" s="434"/>
      <c r="BJ13" s="413"/>
      <c r="BK13" s="413"/>
      <c r="BL13" s="13"/>
      <c r="BM13" s="434"/>
      <c r="BN13" s="413"/>
      <c r="BO13" s="413"/>
      <c r="BP13" s="13"/>
      <c r="BQ13" s="29"/>
      <c r="BR13" s="13"/>
    </row>
    <row r="14" spans="1:70" ht="7.5" customHeight="1">
      <c r="A14" s="16"/>
      <c r="B14" s="448" t="s">
        <v>58</v>
      </c>
      <c r="C14" s="449"/>
      <c r="D14" s="449"/>
      <c r="E14" s="449"/>
      <c r="F14" s="449"/>
      <c r="G14" s="449" t="s">
        <v>59</v>
      </c>
      <c r="H14" s="449"/>
      <c r="I14" s="449"/>
      <c r="J14" s="449"/>
      <c r="K14" s="449"/>
      <c r="L14" s="449"/>
      <c r="M14" s="449" t="s">
        <v>60</v>
      </c>
      <c r="N14" s="449"/>
      <c r="O14" s="449"/>
      <c r="P14" s="449"/>
      <c r="Q14" s="449"/>
      <c r="R14" s="449"/>
      <c r="S14" s="449" t="s">
        <v>61</v>
      </c>
      <c r="T14" s="449"/>
      <c r="U14" s="449"/>
      <c r="V14" s="449"/>
      <c r="W14" s="449"/>
      <c r="X14" s="450"/>
      <c r="Y14" s="29"/>
      <c r="Z14" s="19"/>
      <c r="AA14" s="15"/>
      <c r="AB14" s="15"/>
      <c r="AC14" s="172"/>
      <c r="AD14" s="172"/>
      <c r="AE14" s="172"/>
      <c r="AF14" s="172"/>
      <c r="AG14" s="172"/>
      <c r="AH14" s="172"/>
      <c r="AI14" s="172"/>
      <c r="AJ14" s="172"/>
      <c r="AK14" s="435"/>
      <c r="AL14" s="435"/>
      <c r="AM14" s="13"/>
      <c r="AN14" s="228"/>
      <c r="AO14" s="228"/>
      <c r="AP14" s="436"/>
      <c r="AQ14" s="436"/>
      <c r="AR14" s="15"/>
      <c r="AS14" s="13"/>
      <c r="AT14" s="228"/>
      <c r="AU14" s="228"/>
      <c r="AV14" s="13"/>
      <c r="AW14" s="434"/>
      <c r="AX14" s="413"/>
      <c r="AY14" s="413"/>
      <c r="AZ14" s="13"/>
      <c r="BA14" s="434"/>
      <c r="BB14" s="413"/>
      <c r="BC14" s="413"/>
      <c r="BD14" s="13"/>
      <c r="BE14" s="434"/>
      <c r="BF14" s="413"/>
      <c r="BG14" s="413"/>
      <c r="BH14" s="13"/>
      <c r="BI14" s="434"/>
      <c r="BJ14" s="413"/>
      <c r="BK14" s="413"/>
      <c r="BL14" s="13"/>
      <c r="BM14" s="434"/>
      <c r="BN14" s="413"/>
      <c r="BO14" s="413"/>
      <c r="BP14" s="13"/>
      <c r="BQ14" s="29"/>
      <c r="BR14" s="13"/>
    </row>
    <row r="15" spans="1:70" ht="7.5" customHeight="1" thickBot="1">
      <c r="A15" s="16"/>
      <c r="B15" s="451"/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3"/>
      <c r="Y15" s="29"/>
      <c r="Z15" s="19"/>
      <c r="AA15" s="15"/>
      <c r="AB15" s="15"/>
      <c r="AC15" s="172" t="s">
        <v>78</v>
      </c>
      <c r="AD15" s="172"/>
      <c r="AE15" s="172"/>
      <c r="AF15" s="172"/>
      <c r="AG15" s="172"/>
      <c r="AH15" s="172"/>
      <c r="AI15" s="172"/>
      <c r="AJ15" s="172"/>
      <c r="AK15" s="435">
        <f>SUM(AN15:AQ16)+IF(Таблицы!AW35=5,Таблицы!AW32,0)+AT15</f>
        <v>40</v>
      </c>
      <c r="AL15" s="435"/>
      <c r="AM15" s="13"/>
      <c r="AN15" s="228">
        <f>IF(D36=0,"",20+(2*SUM(D36,D26)+Таблицы!M101+Таблицы!U101))</f>
        <v>40</v>
      </c>
      <c r="AO15" s="228"/>
      <c r="AP15" s="436"/>
      <c r="AQ15" s="436"/>
      <c r="AR15" s="13"/>
      <c r="AS15" s="13"/>
      <c r="AT15" s="287">
        <f>IF(Таблицы!M101=20,SUM(AX15*2,BB15*2/2,INT(BF15*2/3),INT(BJ15*2/4),INT(BN15*2/5)),SUM(AX15,INT(BB15/2),INT(BF15/3),INT(BJ15/4),INT(BN15/5)))</f>
        <v>0</v>
      </c>
      <c r="AU15" s="287"/>
      <c r="AV15" s="13"/>
      <c r="AW15" s="434"/>
      <c r="AX15" s="413"/>
      <c r="AY15" s="413"/>
      <c r="AZ15" s="13"/>
      <c r="BA15" s="434"/>
      <c r="BB15" s="413"/>
      <c r="BC15" s="413"/>
      <c r="BD15" s="13"/>
      <c r="BE15" s="434"/>
      <c r="BF15" s="413"/>
      <c r="BG15" s="413"/>
      <c r="BH15" s="13"/>
      <c r="BI15" s="434"/>
      <c r="BJ15" s="413"/>
      <c r="BK15" s="413"/>
      <c r="BL15" s="13"/>
      <c r="BM15" s="434"/>
      <c r="BN15" s="413"/>
      <c r="BO15" s="413"/>
      <c r="BP15" s="13"/>
      <c r="BQ15" s="29"/>
      <c r="BR15" s="13"/>
    </row>
    <row r="16" spans="1:70" ht="6.75" customHeight="1">
      <c r="A16" s="19"/>
      <c r="B16" s="287">
        <f>VLOOKUP(G16,Таблицы!A2:B32,2,TRUE)</f>
        <v>1</v>
      </c>
      <c r="C16" s="287"/>
      <c r="D16" s="287"/>
      <c r="E16" s="287"/>
      <c r="F16" s="287"/>
      <c r="G16" s="254">
        <v>0</v>
      </c>
      <c r="H16" s="254"/>
      <c r="I16" s="254"/>
      <c r="J16" s="254"/>
      <c r="K16" s="254"/>
      <c r="L16" s="254"/>
      <c r="M16" s="287">
        <f>VLOOKUP(B16+1,Таблицы!B2:C32,2,FALSE)</f>
        <v>1000</v>
      </c>
      <c r="N16" s="287"/>
      <c r="O16" s="287"/>
      <c r="P16" s="287"/>
      <c r="Q16" s="287"/>
      <c r="R16" s="287"/>
      <c r="S16" s="254"/>
      <c r="T16" s="254"/>
      <c r="U16" s="254"/>
      <c r="V16" s="254"/>
      <c r="W16" s="254"/>
      <c r="X16" s="254"/>
      <c r="Y16" s="29"/>
      <c r="Z16" s="19"/>
      <c r="AA16" s="15"/>
      <c r="AB16" s="15"/>
      <c r="AC16" s="172"/>
      <c r="AD16" s="172"/>
      <c r="AE16" s="172"/>
      <c r="AF16" s="172"/>
      <c r="AG16" s="172"/>
      <c r="AH16" s="172"/>
      <c r="AI16" s="172"/>
      <c r="AJ16" s="172"/>
      <c r="AK16" s="435"/>
      <c r="AL16" s="435"/>
      <c r="AM16" s="13"/>
      <c r="AN16" s="228"/>
      <c r="AO16" s="228"/>
      <c r="AP16" s="436"/>
      <c r="AQ16" s="436"/>
      <c r="AR16" s="15"/>
      <c r="AS16" s="13"/>
      <c r="AT16" s="228"/>
      <c r="AU16" s="228"/>
      <c r="AV16" s="13"/>
      <c r="AW16" s="434"/>
      <c r="AX16" s="413"/>
      <c r="AY16" s="413"/>
      <c r="AZ16" s="13"/>
      <c r="BA16" s="434"/>
      <c r="BB16" s="413"/>
      <c r="BC16" s="413"/>
      <c r="BD16" s="13"/>
      <c r="BE16" s="434"/>
      <c r="BF16" s="413"/>
      <c r="BG16" s="413"/>
      <c r="BH16" s="13"/>
      <c r="BI16" s="434"/>
      <c r="BJ16" s="413"/>
      <c r="BK16" s="413"/>
      <c r="BL16" s="13"/>
      <c r="BM16" s="434"/>
      <c r="BN16" s="413"/>
      <c r="BO16" s="413"/>
      <c r="BP16" s="13"/>
      <c r="BQ16" s="29"/>
      <c r="BR16" s="13"/>
    </row>
    <row r="17" spans="1:70" ht="7.5" customHeight="1" thickBot="1">
      <c r="A17" s="20"/>
      <c r="B17" s="483"/>
      <c r="C17" s="483"/>
      <c r="D17" s="483"/>
      <c r="E17" s="483"/>
      <c r="F17" s="483"/>
      <c r="G17" s="468"/>
      <c r="H17" s="468"/>
      <c r="I17" s="468"/>
      <c r="J17" s="468"/>
      <c r="K17" s="468"/>
      <c r="L17" s="468"/>
      <c r="M17" s="483"/>
      <c r="N17" s="483"/>
      <c r="O17" s="483"/>
      <c r="P17" s="483"/>
      <c r="Q17" s="483"/>
      <c r="R17" s="483"/>
      <c r="S17" s="468"/>
      <c r="T17" s="468"/>
      <c r="U17" s="468"/>
      <c r="V17" s="468"/>
      <c r="W17" s="468"/>
      <c r="X17" s="468"/>
      <c r="Y17" s="29"/>
      <c r="Z17" s="19"/>
      <c r="AA17" s="15"/>
      <c r="AB17" s="15"/>
      <c r="AC17" s="172" t="s">
        <v>1168</v>
      </c>
      <c r="AD17" s="172"/>
      <c r="AE17" s="172"/>
      <c r="AF17" s="172"/>
      <c r="AG17" s="172"/>
      <c r="AH17" s="172"/>
      <c r="AI17" s="172"/>
      <c r="AJ17" s="172"/>
      <c r="AK17" s="435">
        <f>SUM(AN17:AQ18)+IF(Таблицы!AW35=6,Таблицы!AW32,0)+AT17</f>
        <v>20</v>
      </c>
      <c r="AL17" s="435"/>
      <c r="AM17" s="13"/>
      <c r="AN17" s="228">
        <f>IF(D36=0,"",(D36*4)+Таблицы!M102+Таблицы!U102)</f>
        <v>20</v>
      </c>
      <c r="AO17" s="228"/>
      <c r="AP17" s="436"/>
      <c r="AQ17" s="436"/>
      <c r="AR17" s="13"/>
      <c r="AS17" s="13"/>
      <c r="AT17" s="287">
        <f>IF(Таблицы!M102=20,SUM(AX17*2,BB17*2/2,INT(BF17*2/3),INT(BJ17*2/4),INT(BN17*2/5)),SUM(AX17,INT(BB17/2),INT(BF17/3),INT(BJ17/4),INT(BN17/5)))</f>
        <v>0</v>
      </c>
      <c r="AU17" s="287"/>
      <c r="AV17" s="13"/>
      <c r="AW17" s="434"/>
      <c r="AX17" s="413"/>
      <c r="AY17" s="413"/>
      <c r="AZ17" s="13"/>
      <c r="BA17" s="434"/>
      <c r="BB17" s="413"/>
      <c r="BC17" s="413"/>
      <c r="BD17" s="13"/>
      <c r="BE17" s="434"/>
      <c r="BF17" s="413"/>
      <c r="BG17" s="413"/>
      <c r="BH17" s="13"/>
      <c r="BI17" s="434"/>
      <c r="BJ17" s="413"/>
      <c r="BK17" s="413"/>
      <c r="BL17" s="13"/>
      <c r="BM17" s="434"/>
      <c r="BN17" s="413"/>
      <c r="BO17" s="413"/>
      <c r="BP17" s="13"/>
      <c r="BQ17" s="29"/>
      <c r="BR17" s="13"/>
    </row>
    <row r="18" spans="1:70" ht="7.5" customHeight="1">
      <c r="A18" s="16"/>
      <c r="B18" s="448" t="s">
        <v>92</v>
      </c>
      <c r="C18" s="449"/>
      <c r="D18" s="449"/>
      <c r="E18" s="449"/>
      <c r="F18" s="449"/>
      <c r="G18" s="449" t="s">
        <v>62</v>
      </c>
      <c r="H18" s="449"/>
      <c r="I18" s="449"/>
      <c r="J18" s="449"/>
      <c r="K18" s="449"/>
      <c r="L18" s="449"/>
      <c r="M18" s="449" t="s">
        <v>63</v>
      </c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50"/>
      <c r="Y18" s="29"/>
      <c r="Z18" s="19"/>
      <c r="AA18" s="15"/>
      <c r="AB18" s="15"/>
      <c r="AC18" s="172"/>
      <c r="AD18" s="172"/>
      <c r="AE18" s="172"/>
      <c r="AF18" s="172"/>
      <c r="AG18" s="172"/>
      <c r="AH18" s="172"/>
      <c r="AI18" s="172"/>
      <c r="AJ18" s="172"/>
      <c r="AK18" s="435"/>
      <c r="AL18" s="435"/>
      <c r="AM18" s="13"/>
      <c r="AN18" s="228"/>
      <c r="AO18" s="228"/>
      <c r="AP18" s="436"/>
      <c r="AQ18" s="436"/>
      <c r="AR18" s="15"/>
      <c r="AS18" s="13"/>
      <c r="AT18" s="228"/>
      <c r="AU18" s="228"/>
      <c r="AV18" s="13"/>
      <c r="AW18" s="434"/>
      <c r="AX18" s="413"/>
      <c r="AY18" s="413"/>
      <c r="AZ18" s="13"/>
      <c r="BA18" s="434"/>
      <c r="BB18" s="413"/>
      <c r="BC18" s="413"/>
      <c r="BD18" s="13"/>
      <c r="BE18" s="434"/>
      <c r="BF18" s="413"/>
      <c r="BG18" s="413"/>
      <c r="BH18" s="13"/>
      <c r="BI18" s="434"/>
      <c r="BJ18" s="413"/>
      <c r="BK18" s="413"/>
      <c r="BL18" s="13"/>
      <c r="BM18" s="434"/>
      <c r="BN18" s="413"/>
      <c r="BO18" s="413"/>
      <c r="BP18" s="13"/>
      <c r="BQ18" s="29"/>
      <c r="BR18" s="13"/>
    </row>
    <row r="19" spans="1:70" ht="6.75" customHeight="1" thickBot="1">
      <c r="A19" s="19"/>
      <c r="B19" s="451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3"/>
      <c r="Y19" s="29"/>
      <c r="Z19" s="19"/>
      <c r="AA19" s="15"/>
      <c r="AB19" s="15"/>
      <c r="AC19" s="172" t="s">
        <v>79</v>
      </c>
      <c r="AD19" s="172"/>
      <c r="AE19" s="172"/>
      <c r="AF19" s="172"/>
      <c r="AG19" s="172"/>
      <c r="AH19" s="172"/>
      <c r="AI19" s="172"/>
      <c r="AJ19" s="172"/>
      <c r="AK19" s="435">
        <f>SUM(AN19:AQ20)+AT19</f>
        <v>20</v>
      </c>
      <c r="AL19" s="435"/>
      <c r="AM19" s="13"/>
      <c r="AN19" s="228">
        <f>IF(D36=0,"",(2*SUM(D28,D34))+Таблицы!M103+Таблицы!U103)</f>
        <v>20</v>
      </c>
      <c r="AO19" s="228"/>
      <c r="AP19" s="436"/>
      <c r="AQ19" s="436"/>
      <c r="AR19" s="13"/>
      <c r="AS19" s="13"/>
      <c r="AT19" s="287">
        <f>IF(Таблицы!M103=20,SUM(AX19*2,BB19*2/2,INT(BF19*2/3),INT(BJ19*2/4),INT(BN19*2/5)),SUM(AX19,INT(BB19/2),INT(BF19/3),INT(BJ19/4),INT(BN19/5)))</f>
        <v>0</v>
      </c>
      <c r="AU19" s="287"/>
      <c r="AV19" s="13"/>
      <c r="AW19" s="434"/>
      <c r="AX19" s="413"/>
      <c r="AY19" s="413"/>
      <c r="AZ19" s="13"/>
      <c r="BA19" s="434"/>
      <c r="BB19" s="413"/>
      <c r="BC19" s="413"/>
      <c r="BD19" s="13"/>
      <c r="BE19" s="434"/>
      <c r="BF19" s="413"/>
      <c r="BG19" s="413"/>
      <c r="BH19" s="13"/>
      <c r="BI19" s="434"/>
      <c r="BJ19" s="413"/>
      <c r="BK19" s="413"/>
      <c r="BL19" s="13"/>
      <c r="BM19" s="434"/>
      <c r="BN19" s="413"/>
      <c r="BO19" s="413"/>
      <c r="BP19" s="13"/>
      <c r="BQ19" s="29"/>
      <c r="BR19" s="13"/>
    </row>
    <row r="20" spans="1:70" ht="7.5" customHeight="1">
      <c r="A20" s="21"/>
      <c r="B20" s="287">
        <f>IF(OR(Таблицы!F112=16,Таблицы!F113=16),SUM(INDEX(Таблицы!F2:S10,Таблицы!G1,10),1),INDEX(Таблицы!F2:S10,Таблицы!G1,10))</f>
        <v>3</v>
      </c>
      <c r="C20" s="287"/>
      <c r="D20" s="287"/>
      <c r="E20" s="287"/>
      <c r="F20" s="287"/>
      <c r="G20" s="287">
        <f>ROUNDDOWN(3+(D30/2),0)+INDEX(Таблицы!R2:R10,Таблицы!G1,1)</f>
        <v>5</v>
      </c>
      <c r="H20" s="287"/>
      <c r="I20" s="287"/>
      <c r="J20" s="287"/>
      <c r="K20" s="287"/>
      <c r="L20" s="287"/>
      <c r="M20" s="287">
        <f>IF(D34=0,"",IF(OR(Таблицы!F112=16,Таблицы!F113=16,Таблицы!F112=17,Таблицы!F113=17),SUM(5+(2*D34),IF(OR(Таблицы!F112=16,Таблицы!F113=16),Таблицы!L46,0),IF(OR(Таблицы!F112=17,Таблицы!F113=17),Таблицы!L48,0)),5+(2*D34)))+INDEX(Таблицы!U2:U10,Таблицы!G1,1)</f>
        <v>15</v>
      </c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31"/>
      <c r="Z20" s="42"/>
      <c r="AA20" s="15"/>
      <c r="AB20" s="15"/>
      <c r="AC20" s="172"/>
      <c r="AD20" s="172"/>
      <c r="AE20" s="172"/>
      <c r="AF20" s="172"/>
      <c r="AG20" s="172"/>
      <c r="AH20" s="172"/>
      <c r="AI20" s="172"/>
      <c r="AJ20" s="172"/>
      <c r="AK20" s="435"/>
      <c r="AL20" s="435"/>
      <c r="AM20" s="13"/>
      <c r="AN20" s="228"/>
      <c r="AO20" s="228"/>
      <c r="AP20" s="436"/>
      <c r="AQ20" s="436"/>
      <c r="AR20" s="13"/>
      <c r="AS20" s="13"/>
      <c r="AT20" s="228"/>
      <c r="AU20" s="228"/>
      <c r="AV20" s="13"/>
      <c r="AW20" s="434"/>
      <c r="AX20" s="413"/>
      <c r="AY20" s="413"/>
      <c r="AZ20" s="13"/>
      <c r="BA20" s="434"/>
      <c r="BB20" s="413"/>
      <c r="BC20" s="413"/>
      <c r="BD20" s="13"/>
      <c r="BE20" s="434"/>
      <c r="BF20" s="413"/>
      <c r="BG20" s="413"/>
      <c r="BH20" s="13"/>
      <c r="BI20" s="434"/>
      <c r="BJ20" s="413"/>
      <c r="BK20" s="413"/>
      <c r="BL20" s="13"/>
      <c r="BM20" s="434"/>
      <c r="BN20" s="413"/>
      <c r="BO20" s="413"/>
      <c r="BP20" s="13"/>
      <c r="BQ20" s="29"/>
      <c r="BR20" s="13"/>
    </row>
    <row r="21" spans="1:70" ht="7.5" customHeight="1">
      <c r="A21" s="19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31"/>
      <c r="Z21" s="42"/>
      <c r="AA21" s="15"/>
      <c r="AB21" s="15"/>
      <c r="AC21" s="172" t="s">
        <v>80</v>
      </c>
      <c r="AD21" s="172"/>
      <c r="AE21" s="172"/>
      <c r="AF21" s="172"/>
      <c r="AG21" s="172"/>
      <c r="AH21" s="172"/>
      <c r="AI21" s="172"/>
      <c r="AJ21" s="172"/>
      <c r="AK21" s="435">
        <f>SUM(AN21:AQ22)+AT21</f>
        <v>15</v>
      </c>
      <c r="AL21" s="435"/>
      <c r="AM21" s="13"/>
      <c r="AN21" s="228">
        <f>IF(D36=0,"",(5+SUM(D28,D34)+Таблицы!M104+Таблицы!U104))</f>
        <v>15</v>
      </c>
      <c r="AO21" s="228"/>
      <c r="AP21" s="436"/>
      <c r="AQ21" s="436"/>
      <c r="AR21" s="13"/>
      <c r="AS21" s="13"/>
      <c r="AT21" s="287">
        <f>IF(Таблицы!M104=20,SUM(AX21*2,BB21*2/2,INT(BF21*2/3),INT(BJ21*2/4),INT(BN21*2/5)),SUM(AX21,INT(BB21/2),INT(BF21/3),INT(BJ21/4),INT(BN21/5)))</f>
        <v>0</v>
      </c>
      <c r="AU21" s="287"/>
      <c r="AV21" s="13"/>
      <c r="AW21" s="434"/>
      <c r="AX21" s="413"/>
      <c r="AY21" s="413"/>
      <c r="AZ21" s="13"/>
      <c r="BA21" s="434"/>
      <c r="BB21" s="413"/>
      <c r="BC21" s="413"/>
      <c r="BD21" s="13"/>
      <c r="BE21" s="434"/>
      <c r="BF21" s="413"/>
      <c r="BG21" s="413"/>
      <c r="BH21" s="13"/>
      <c r="BI21" s="434"/>
      <c r="BJ21" s="413"/>
      <c r="BK21" s="413"/>
      <c r="BL21" s="22"/>
      <c r="BM21" s="434"/>
      <c r="BN21" s="413"/>
      <c r="BO21" s="413"/>
      <c r="BP21" s="13"/>
      <c r="BQ21" s="29"/>
      <c r="BR21" s="13"/>
    </row>
    <row r="22" spans="1:70" ht="7.5" customHeight="1">
      <c r="A22" s="65"/>
      <c r="B22" s="46"/>
      <c r="C22" s="46"/>
      <c r="D22" s="46"/>
      <c r="E22" s="46"/>
      <c r="F22" s="68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66"/>
      <c r="Z22" s="19"/>
      <c r="AA22" s="15"/>
      <c r="AB22" s="15"/>
      <c r="AC22" s="172"/>
      <c r="AD22" s="172"/>
      <c r="AE22" s="172"/>
      <c r="AF22" s="172"/>
      <c r="AG22" s="172"/>
      <c r="AH22" s="172"/>
      <c r="AI22" s="172"/>
      <c r="AJ22" s="172"/>
      <c r="AK22" s="435"/>
      <c r="AL22" s="435"/>
      <c r="AM22" s="13"/>
      <c r="AN22" s="228"/>
      <c r="AO22" s="228"/>
      <c r="AP22" s="436"/>
      <c r="AQ22" s="436"/>
      <c r="AR22" s="13"/>
      <c r="AS22" s="13"/>
      <c r="AT22" s="228"/>
      <c r="AU22" s="228"/>
      <c r="AV22" s="13"/>
      <c r="AW22" s="434"/>
      <c r="AX22" s="413"/>
      <c r="AY22" s="413"/>
      <c r="AZ22" s="13"/>
      <c r="BA22" s="434"/>
      <c r="BB22" s="413"/>
      <c r="BC22" s="413"/>
      <c r="BD22" s="13"/>
      <c r="BE22" s="434"/>
      <c r="BF22" s="413"/>
      <c r="BG22" s="413"/>
      <c r="BH22" s="13"/>
      <c r="BI22" s="434"/>
      <c r="BJ22" s="413"/>
      <c r="BK22" s="413"/>
      <c r="BL22" s="22"/>
      <c r="BM22" s="434"/>
      <c r="BN22" s="413"/>
      <c r="BO22" s="413"/>
      <c r="BP22" s="13"/>
      <c r="BQ22" s="29"/>
      <c r="BR22" s="13"/>
    </row>
    <row r="23" spans="1:70" ht="7.5" customHeight="1" thickBot="1">
      <c r="A23" s="19"/>
      <c r="B23" s="13"/>
      <c r="C23" s="13"/>
      <c r="D23" s="13"/>
      <c r="E23" s="13"/>
      <c r="F23" s="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29"/>
      <c r="Z23" s="19"/>
      <c r="AA23" s="15"/>
      <c r="AB23" s="15"/>
      <c r="AC23" s="172" t="s">
        <v>81</v>
      </c>
      <c r="AD23" s="172"/>
      <c r="AE23" s="172"/>
      <c r="AF23" s="172"/>
      <c r="AG23" s="172"/>
      <c r="AH23" s="172"/>
      <c r="AI23" s="172"/>
      <c r="AJ23" s="172"/>
      <c r="AK23" s="435">
        <f>SUM(AN23:AQ24)+AT23</f>
        <v>20</v>
      </c>
      <c r="AL23" s="435"/>
      <c r="AM23" s="13"/>
      <c r="AN23" s="228">
        <f>IF(D36=0,"",5+(3*D36)+Таблицы!M105+Таблицы!U105)</f>
        <v>20</v>
      </c>
      <c r="AO23" s="228"/>
      <c r="AP23" s="436"/>
      <c r="AQ23" s="436"/>
      <c r="AR23" s="13"/>
      <c r="AS23" s="13"/>
      <c r="AT23" s="287">
        <f>IF(Таблицы!M105=20,SUM(AX23*2,BB23*2/2,INT(BF23*2/3),INT(BJ23*2/4),INT(BN23*2/5)),SUM(AX23,INT(BB23/2),INT(BF23/3),INT(BJ23/4),INT(BN23/5)))</f>
        <v>0</v>
      </c>
      <c r="AU23" s="287"/>
      <c r="AV23" s="13"/>
      <c r="AW23" s="434"/>
      <c r="AX23" s="413"/>
      <c r="AY23" s="413"/>
      <c r="AZ23" s="13"/>
      <c r="BA23" s="434"/>
      <c r="BB23" s="413"/>
      <c r="BC23" s="413"/>
      <c r="BD23" s="13"/>
      <c r="BE23" s="434"/>
      <c r="BF23" s="413"/>
      <c r="BG23" s="413"/>
      <c r="BH23" s="13"/>
      <c r="BI23" s="434"/>
      <c r="BJ23" s="413"/>
      <c r="BK23" s="413"/>
      <c r="BL23" s="22"/>
      <c r="BM23" s="434"/>
      <c r="BN23" s="413"/>
      <c r="BO23" s="413"/>
      <c r="BP23" s="13"/>
      <c r="BQ23" s="29"/>
      <c r="BR23" s="13"/>
    </row>
    <row r="24" spans="1:70" ht="7.5" customHeight="1">
      <c r="A24" s="19"/>
      <c r="B24" s="488" t="s">
        <v>94</v>
      </c>
      <c r="C24" s="489"/>
      <c r="D24" s="424" t="s">
        <v>222</v>
      </c>
      <c r="E24" s="424"/>
      <c r="F24" s="425"/>
      <c r="G24" s="13"/>
      <c r="H24" s="415" t="s">
        <v>95</v>
      </c>
      <c r="I24" s="442"/>
      <c r="J24" s="442"/>
      <c r="K24" s="455" t="s">
        <v>74</v>
      </c>
      <c r="L24" s="455"/>
      <c r="M24" s="455"/>
      <c r="N24" s="458" t="s">
        <v>8</v>
      </c>
      <c r="O24" s="458"/>
      <c r="P24" s="459"/>
      <c r="Q24" s="13"/>
      <c r="R24" s="448" t="s">
        <v>272</v>
      </c>
      <c r="S24" s="449"/>
      <c r="T24" s="449"/>
      <c r="U24" s="449"/>
      <c r="V24" s="449"/>
      <c r="W24" s="449"/>
      <c r="X24" s="450"/>
      <c r="Y24" s="29"/>
      <c r="Z24" s="19"/>
      <c r="AA24" s="15"/>
      <c r="AB24" s="15"/>
      <c r="AC24" s="172"/>
      <c r="AD24" s="172"/>
      <c r="AE24" s="172"/>
      <c r="AF24" s="172"/>
      <c r="AG24" s="172"/>
      <c r="AH24" s="172"/>
      <c r="AI24" s="172"/>
      <c r="AJ24" s="172"/>
      <c r="AK24" s="435"/>
      <c r="AL24" s="435"/>
      <c r="AM24" s="13"/>
      <c r="AN24" s="228"/>
      <c r="AO24" s="228"/>
      <c r="AP24" s="436"/>
      <c r="AQ24" s="436"/>
      <c r="AR24" s="13"/>
      <c r="AS24" s="13"/>
      <c r="AT24" s="228"/>
      <c r="AU24" s="228"/>
      <c r="AV24" s="13"/>
      <c r="AW24" s="434"/>
      <c r="AX24" s="413"/>
      <c r="AY24" s="413"/>
      <c r="AZ24" s="13"/>
      <c r="BA24" s="434"/>
      <c r="BB24" s="413"/>
      <c r="BC24" s="413"/>
      <c r="BD24" s="13"/>
      <c r="BE24" s="434"/>
      <c r="BF24" s="413"/>
      <c r="BG24" s="413"/>
      <c r="BH24" s="13"/>
      <c r="BI24" s="434"/>
      <c r="BJ24" s="413"/>
      <c r="BK24" s="413"/>
      <c r="BL24" s="22"/>
      <c r="BM24" s="434"/>
      <c r="BN24" s="413"/>
      <c r="BO24" s="413"/>
      <c r="BP24" s="13"/>
      <c r="BQ24" s="29"/>
      <c r="BR24" s="13"/>
    </row>
    <row r="25" spans="1:70" ht="7.5" customHeight="1" thickBot="1">
      <c r="A25" s="21"/>
      <c r="B25" s="490"/>
      <c r="C25" s="491"/>
      <c r="D25" s="427"/>
      <c r="E25" s="427"/>
      <c r="F25" s="428"/>
      <c r="G25" s="13"/>
      <c r="H25" s="443"/>
      <c r="I25" s="444"/>
      <c r="J25" s="444"/>
      <c r="K25" s="457"/>
      <c r="L25" s="457"/>
      <c r="M25" s="457"/>
      <c r="N25" s="460"/>
      <c r="O25" s="460"/>
      <c r="P25" s="461"/>
      <c r="Q25" s="13"/>
      <c r="R25" s="451"/>
      <c r="S25" s="452"/>
      <c r="T25" s="452"/>
      <c r="U25" s="452"/>
      <c r="V25" s="452"/>
      <c r="W25" s="452"/>
      <c r="X25" s="453"/>
      <c r="Y25" s="29"/>
      <c r="Z25" s="19"/>
      <c r="AA25" s="15"/>
      <c r="AB25" s="15"/>
      <c r="AC25" s="172" t="s">
        <v>82</v>
      </c>
      <c r="AD25" s="172"/>
      <c r="AE25" s="172"/>
      <c r="AF25" s="172"/>
      <c r="AG25" s="172"/>
      <c r="AH25" s="172"/>
      <c r="AI25" s="172"/>
      <c r="AJ25" s="172"/>
      <c r="AK25" s="435">
        <f>SUM(AN25:AQ26)+AT25</f>
        <v>20</v>
      </c>
      <c r="AL25" s="435"/>
      <c r="AM25" s="13"/>
      <c r="AN25" s="228">
        <f>IF(D36=0,"",10+(SUM(D28,D36)+Таблицы!M106+Таблицы!U106))</f>
        <v>20</v>
      </c>
      <c r="AO25" s="228"/>
      <c r="AP25" s="436"/>
      <c r="AQ25" s="436"/>
      <c r="AR25" s="13"/>
      <c r="AS25" s="13"/>
      <c r="AT25" s="287">
        <f>IF(Таблицы!M106=20,SUM(AX25*2,BB25*2/2,INT(BF25*2/3),INT(BJ25*2/4),INT(BN25*2/5)),SUM(AX25,INT(BB25/2),INT(BF25/3),INT(BJ25/4),INT(BN25/5)))</f>
        <v>0</v>
      </c>
      <c r="AU25" s="287"/>
      <c r="AV25" s="13"/>
      <c r="AW25" s="434"/>
      <c r="AX25" s="413"/>
      <c r="AY25" s="413"/>
      <c r="AZ25" s="13"/>
      <c r="BA25" s="434"/>
      <c r="BB25" s="413"/>
      <c r="BC25" s="413"/>
      <c r="BD25" s="13"/>
      <c r="BE25" s="434"/>
      <c r="BF25" s="413"/>
      <c r="BG25" s="413"/>
      <c r="BH25" s="13"/>
      <c r="BI25" s="434"/>
      <c r="BJ25" s="413"/>
      <c r="BK25" s="413"/>
      <c r="BL25" s="22"/>
      <c r="BM25" s="434"/>
      <c r="BN25" s="413"/>
      <c r="BO25" s="413"/>
      <c r="BP25" s="13"/>
      <c r="BQ25" s="29"/>
      <c r="BR25" s="13"/>
    </row>
    <row r="26" spans="1:70" ht="7.5" customHeight="1">
      <c r="A26" s="16"/>
      <c r="B26" s="492" t="s">
        <v>258</v>
      </c>
      <c r="C26" s="385"/>
      <c r="D26" s="287">
        <f>SUM(K26+N26,IF(OR(Таблицы!F112=3,Таблицы!F113=3),Таблицы!L35,0),IF(OR(Таблицы!F112=17,Таблицы!F113=17),Таблицы!L49,0))</f>
        <v>5</v>
      </c>
      <c r="E26" s="287"/>
      <c r="F26" s="465"/>
      <c r="G26" s="13"/>
      <c r="H26" s="445" t="str">
        <f>INDEX(Таблицы!F2:L11,Таблицы!G1,1)</f>
        <v>1/10</v>
      </c>
      <c r="I26" s="446"/>
      <c r="J26" s="447"/>
      <c r="K26" s="287">
        <f>INDEX(Таблицы!AF2:AL10,Таблицы!G1,1)</f>
        <v>5</v>
      </c>
      <c r="L26" s="287"/>
      <c r="M26" s="287"/>
      <c r="N26" s="254"/>
      <c r="O26" s="254"/>
      <c r="P26" s="254"/>
      <c r="Q26" s="13"/>
      <c r="R26" s="414"/>
      <c r="S26" s="414"/>
      <c r="T26" s="414"/>
      <c r="U26" s="414"/>
      <c r="V26" s="414"/>
      <c r="W26" s="414"/>
      <c r="X26" s="414"/>
      <c r="Y26" s="29"/>
      <c r="Z26" s="19"/>
      <c r="AA26" s="15"/>
      <c r="AB26" s="15"/>
      <c r="AC26" s="172"/>
      <c r="AD26" s="172"/>
      <c r="AE26" s="172"/>
      <c r="AF26" s="172"/>
      <c r="AG26" s="172"/>
      <c r="AH26" s="172"/>
      <c r="AI26" s="172"/>
      <c r="AJ26" s="172"/>
      <c r="AK26" s="435"/>
      <c r="AL26" s="435"/>
      <c r="AM26" s="13"/>
      <c r="AN26" s="228"/>
      <c r="AO26" s="228"/>
      <c r="AP26" s="436"/>
      <c r="AQ26" s="436"/>
      <c r="AR26" s="13"/>
      <c r="AS26" s="13"/>
      <c r="AT26" s="228"/>
      <c r="AU26" s="228"/>
      <c r="AV26" s="13"/>
      <c r="AW26" s="434"/>
      <c r="AX26" s="413"/>
      <c r="AY26" s="413"/>
      <c r="AZ26" s="13"/>
      <c r="BA26" s="434"/>
      <c r="BB26" s="413"/>
      <c r="BC26" s="413"/>
      <c r="BD26" s="13"/>
      <c r="BE26" s="434"/>
      <c r="BF26" s="413"/>
      <c r="BG26" s="413"/>
      <c r="BH26" s="13"/>
      <c r="BI26" s="434"/>
      <c r="BJ26" s="413"/>
      <c r="BK26" s="413"/>
      <c r="BL26" s="22"/>
      <c r="BM26" s="434"/>
      <c r="BN26" s="413"/>
      <c r="BO26" s="413"/>
      <c r="BP26" s="13"/>
      <c r="BQ26" s="29"/>
      <c r="BR26" s="13"/>
    </row>
    <row r="27" spans="1:70" ht="7.5" customHeight="1" thickBot="1">
      <c r="A27" s="16"/>
      <c r="B27" s="487"/>
      <c r="C27" s="347"/>
      <c r="D27" s="228"/>
      <c r="E27" s="228"/>
      <c r="F27" s="439"/>
      <c r="G27" s="13"/>
      <c r="H27" s="357"/>
      <c r="I27" s="358"/>
      <c r="J27" s="359"/>
      <c r="K27" s="228"/>
      <c r="L27" s="228"/>
      <c r="M27" s="228"/>
      <c r="N27" s="227"/>
      <c r="O27" s="227"/>
      <c r="P27" s="227"/>
      <c r="Q27" s="13"/>
      <c r="R27" s="467"/>
      <c r="S27" s="467"/>
      <c r="T27" s="467"/>
      <c r="U27" s="467"/>
      <c r="V27" s="467"/>
      <c r="W27" s="467"/>
      <c r="X27" s="467"/>
      <c r="Y27" s="29"/>
      <c r="Z27" s="19"/>
      <c r="AA27" s="15"/>
      <c r="AB27" s="15"/>
      <c r="AC27" s="172" t="s">
        <v>83</v>
      </c>
      <c r="AD27" s="172"/>
      <c r="AE27" s="172"/>
      <c r="AF27" s="172"/>
      <c r="AG27" s="172"/>
      <c r="AH27" s="172"/>
      <c r="AI27" s="172"/>
      <c r="AJ27" s="172"/>
      <c r="AK27" s="435">
        <f>SUM(AN27:AQ28)+AT27</f>
        <v>15</v>
      </c>
      <c r="AL27" s="435"/>
      <c r="AM27" s="13"/>
      <c r="AN27" s="228">
        <f>IF(D36=0,"",(D36*3)+Таблицы!M107+Таблицы!U107)</f>
        <v>15</v>
      </c>
      <c r="AO27" s="228"/>
      <c r="AP27" s="436"/>
      <c r="AQ27" s="436"/>
      <c r="AR27" s="13"/>
      <c r="AS27" s="13"/>
      <c r="AT27" s="287">
        <f>IF(Таблицы!M107=20,SUM(AX27*2,BB27*2/2,INT(BF27*2/3),INT(BJ27*2/4),INT(BN27*2/5)),SUM(AX27,INT(BB27/2),INT(BF27/3),INT(BJ27/4),INT(BN27/5)))</f>
        <v>0</v>
      </c>
      <c r="AU27" s="287"/>
      <c r="AV27" s="13"/>
      <c r="AW27" s="434"/>
      <c r="AX27" s="413"/>
      <c r="AY27" s="413"/>
      <c r="AZ27" s="13"/>
      <c r="BA27" s="434"/>
      <c r="BB27" s="413"/>
      <c r="BC27" s="413"/>
      <c r="BD27" s="13"/>
      <c r="BE27" s="434"/>
      <c r="BF27" s="413"/>
      <c r="BG27" s="413"/>
      <c r="BH27" s="13"/>
      <c r="BI27" s="434"/>
      <c r="BJ27" s="413"/>
      <c r="BK27" s="413"/>
      <c r="BL27" s="22"/>
      <c r="BM27" s="434"/>
      <c r="BN27" s="413"/>
      <c r="BO27" s="413"/>
      <c r="BP27" s="13"/>
      <c r="BQ27" s="29"/>
      <c r="BR27" s="13"/>
    </row>
    <row r="28" spans="1:70" ht="7.5" customHeight="1">
      <c r="A28" s="16"/>
      <c r="B28" s="486" t="s">
        <v>115</v>
      </c>
      <c r="C28" s="346"/>
      <c r="D28" s="228">
        <f>SUM(K28+N28,IF(OR(Таблицы!F112=20,Таблицы!F113=20),Таблицы!L57,0),IF(OR(Таблицы!F112=17,Таблицы!F113=17),Таблицы!L50,0))</f>
        <v>5</v>
      </c>
      <c r="E28" s="228"/>
      <c r="F28" s="439"/>
      <c r="G28" s="13"/>
      <c r="H28" s="354" t="str">
        <f>INDEX(Таблицы!F2:L11,Таблицы!G1,2)</f>
        <v>1/10</v>
      </c>
      <c r="I28" s="355"/>
      <c r="J28" s="356"/>
      <c r="K28" s="287">
        <f>INDEX(Таблицы!AF2:AL10,Таблицы!G1,2)</f>
        <v>5</v>
      </c>
      <c r="L28" s="287"/>
      <c r="M28" s="287"/>
      <c r="N28" s="227"/>
      <c r="O28" s="227"/>
      <c r="P28" s="227"/>
      <c r="Q28" s="13"/>
      <c r="R28" s="448" t="s">
        <v>271</v>
      </c>
      <c r="S28" s="449"/>
      <c r="T28" s="449"/>
      <c r="U28" s="449"/>
      <c r="V28" s="449"/>
      <c r="W28" s="449"/>
      <c r="X28" s="450"/>
      <c r="Y28" s="29"/>
      <c r="Z28" s="19"/>
      <c r="AA28" s="15"/>
      <c r="AB28" s="15"/>
      <c r="AC28" s="172"/>
      <c r="AD28" s="172"/>
      <c r="AE28" s="172"/>
      <c r="AF28" s="172"/>
      <c r="AG28" s="172"/>
      <c r="AH28" s="172"/>
      <c r="AI28" s="172"/>
      <c r="AJ28" s="172"/>
      <c r="AK28" s="435"/>
      <c r="AL28" s="435"/>
      <c r="AM28" s="13"/>
      <c r="AN28" s="228"/>
      <c r="AO28" s="228"/>
      <c r="AP28" s="436"/>
      <c r="AQ28" s="436"/>
      <c r="AR28" s="13"/>
      <c r="AS28" s="13"/>
      <c r="AT28" s="228"/>
      <c r="AU28" s="228"/>
      <c r="AV28" s="13"/>
      <c r="AW28" s="434"/>
      <c r="AX28" s="413"/>
      <c r="AY28" s="413"/>
      <c r="AZ28" s="13"/>
      <c r="BA28" s="434"/>
      <c r="BB28" s="413"/>
      <c r="BC28" s="413"/>
      <c r="BD28" s="13"/>
      <c r="BE28" s="434"/>
      <c r="BF28" s="413"/>
      <c r="BG28" s="413"/>
      <c r="BH28" s="13"/>
      <c r="BI28" s="434"/>
      <c r="BJ28" s="413"/>
      <c r="BK28" s="413"/>
      <c r="BL28" s="22"/>
      <c r="BM28" s="434"/>
      <c r="BN28" s="413"/>
      <c r="BO28" s="413"/>
      <c r="BP28" s="13"/>
      <c r="BQ28" s="29"/>
      <c r="BR28" s="13"/>
    </row>
    <row r="29" spans="1:70" ht="7.5" customHeight="1" thickBot="1">
      <c r="A29" s="16"/>
      <c r="B29" s="487"/>
      <c r="C29" s="347"/>
      <c r="D29" s="228"/>
      <c r="E29" s="228"/>
      <c r="F29" s="439"/>
      <c r="G29" s="13"/>
      <c r="H29" s="357"/>
      <c r="I29" s="358"/>
      <c r="J29" s="359"/>
      <c r="K29" s="228"/>
      <c r="L29" s="228"/>
      <c r="M29" s="228"/>
      <c r="N29" s="227"/>
      <c r="O29" s="227"/>
      <c r="P29" s="227"/>
      <c r="Q29" s="13"/>
      <c r="R29" s="451"/>
      <c r="S29" s="452"/>
      <c r="T29" s="452"/>
      <c r="U29" s="452"/>
      <c r="V29" s="452"/>
      <c r="W29" s="452"/>
      <c r="X29" s="453"/>
      <c r="Y29" s="29"/>
      <c r="Z29" s="19"/>
      <c r="AA29" s="15"/>
      <c r="AB29" s="15"/>
      <c r="AC29" s="172" t="s">
        <v>84</v>
      </c>
      <c r="AD29" s="172"/>
      <c r="AE29" s="172"/>
      <c r="AF29" s="172"/>
      <c r="AG29" s="172"/>
      <c r="AH29" s="172"/>
      <c r="AI29" s="172"/>
      <c r="AJ29" s="172"/>
      <c r="AK29" s="435">
        <f>SUM(AN29:AQ30)+AT29</f>
        <v>20</v>
      </c>
      <c r="AL29" s="435"/>
      <c r="AM29" s="13"/>
      <c r="AN29" s="228">
        <f>IF(D36=0,"",10+(SUM(D28,D36)+Таблицы!M108+Таблицы!U108))</f>
        <v>20</v>
      </c>
      <c r="AO29" s="228"/>
      <c r="AP29" s="436"/>
      <c r="AQ29" s="436"/>
      <c r="AR29" s="13"/>
      <c r="AS29" s="13"/>
      <c r="AT29" s="287">
        <f>IF(Таблицы!M108=20,SUM(AX29*2,BB29*2/2,INT(BF29*2/3),INT(BJ29*2/4),INT(BN29*2/5)),SUM(AX29,INT(BB29/2),INT(BF29/3),INT(BJ29/4),INT(BN29/5)))</f>
        <v>0</v>
      </c>
      <c r="AU29" s="287"/>
      <c r="AV29" s="13"/>
      <c r="AW29" s="434"/>
      <c r="AX29" s="413"/>
      <c r="AY29" s="413"/>
      <c r="AZ29" s="13"/>
      <c r="BA29" s="434"/>
      <c r="BB29" s="413"/>
      <c r="BC29" s="413"/>
      <c r="BD29" s="13"/>
      <c r="BE29" s="434"/>
      <c r="BF29" s="413"/>
      <c r="BG29" s="413"/>
      <c r="BH29" s="13"/>
      <c r="BI29" s="434"/>
      <c r="BJ29" s="413"/>
      <c r="BK29" s="413"/>
      <c r="BL29" s="22"/>
      <c r="BM29" s="434"/>
      <c r="BN29" s="413"/>
      <c r="BO29" s="413"/>
      <c r="BP29" s="13"/>
      <c r="BQ29" s="29"/>
      <c r="BR29" s="13"/>
    </row>
    <row r="30" spans="1:70" ht="7.5" customHeight="1">
      <c r="A30" s="16"/>
      <c r="B30" s="486" t="s">
        <v>116</v>
      </c>
      <c r="C30" s="346"/>
      <c r="D30" s="228">
        <f>SUM(K30+N30,IF(OR(Таблицы!F112=17,Таблицы!F113=17),Таблицы!L51,0))</f>
        <v>5</v>
      </c>
      <c r="E30" s="228"/>
      <c r="F30" s="439"/>
      <c r="G30" s="13"/>
      <c r="H30" s="354" t="str">
        <f>INDEX(Таблицы!F2:L11,Таблицы!G1,3)</f>
        <v>1/10</v>
      </c>
      <c r="I30" s="355"/>
      <c r="J30" s="356"/>
      <c r="K30" s="287">
        <f>INDEX(Таблицы!AF2:AL10,Таблицы!G1,3)</f>
        <v>5</v>
      </c>
      <c r="L30" s="287"/>
      <c r="M30" s="287"/>
      <c r="N30" s="227"/>
      <c r="O30" s="227"/>
      <c r="P30" s="227"/>
      <c r="Q30" s="13"/>
      <c r="R30" s="254"/>
      <c r="S30" s="254"/>
      <c r="T30" s="254"/>
      <c r="U30" s="254"/>
      <c r="V30" s="254"/>
      <c r="W30" s="254"/>
      <c r="X30" s="254"/>
      <c r="Y30" s="29"/>
      <c r="Z30" s="19"/>
      <c r="AA30" s="15"/>
      <c r="AB30" s="15"/>
      <c r="AC30" s="172"/>
      <c r="AD30" s="172"/>
      <c r="AE30" s="172"/>
      <c r="AF30" s="172"/>
      <c r="AG30" s="172"/>
      <c r="AH30" s="172"/>
      <c r="AI30" s="172"/>
      <c r="AJ30" s="172"/>
      <c r="AK30" s="435"/>
      <c r="AL30" s="435"/>
      <c r="AM30" s="13"/>
      <c r="AN30" s="228"/>
      <c r="AO30" s="228"/>
      <c r="AP30" s="436"/>
      <c r="AQ30" s="436"/>
      <c r="AR30" s="13"/>
      <c r="AS30" s="13"/>
      <c r="AT30" s="228"/>
      <c r="AU30" s="228"/>
      <c r="AV30" s="13"/>
      <c r="AW30" s="434"/>
      <c r="AX30" s="413"/>
      <c r="AY30" s="413"/>
      <c r="AZ30" s="13"/>
      <c r="BA30" s="434"/>
      <c r="BB30" s="413"/>
      <c r="BC30" s="413"/>
      <c r="BD30" s="13"/>
      <c r="BE30" s="434"/>
      <c r="BF30" s="413"/>
      <c r="BG30" s="413"/>
      <c r="BH30" s="13"/>
      <c r="BI30" s="434"/>
      <c r="BJ30" s="413"/>
      <c r="BK30" s="413"/>
      <c r="BL30" s="22"/>
      <c r="BM30" s="434"/>
      <c r="BN30" s="413"/>
      <c r="BO30" s="413"/>
      <c r="BP30" s="13"/>
      <c r="BQ30" s="29"/>
      <c r="BR30" s="13"/>
    </row>
    <row r="31" spans="1:70" ht="7.5" customHeight="1" thickBot="1">
      <c r="A31" s="16"/>
      <c r="B31" s="487"/>
      <c r="C31" s="347"/>
      <c r="D31" s="228"/>
      <c r="E31" s="228"/>
      <c r="F31" s="439"/>
      <c r="G31" s="13"/>
      <c r="H31" s="357"/>
      <c r="I31" s="358"/>
      <c r="J31" s="359"/>
      <c r="K31" s="228"/>
      <c r="L31" s="228"/>
      <c r="M31" s="228"/>
      <c r="N31" s="227"/>
      <c r="O31" s="227"/>
      <c r="P31" s="227"/>
      <c r="Q31" s="13"/>
      <c r="R31" s="468"/>
      <c r="S31" s="468"/>
      <c r="T31" s="468"/>
      <c r="U31" s="468"/>
      <c r="V31" s="468"/>
      <c r="W31" s="468"/>
      <c r="X31" s="468"/>
      <c r="Y31" s="29"/>
      <c r="Z31" s="19"/>
      <c r="AA31" s="15"/>
      <c r="AB31" s="15"/>
      <c r="AC31" s="172" t="s">
        <v>85</v>
      </c>
      <c r="AD31" s="172"/>
      <c r="AE31" s="172"/>
      <c r="AF31" s="172"/>
      <c r="AG31" s="172"/>
      <c r="AH31" s="172"/>
      <c r="AI31" s="172"/>
      <c r="AJ31" s="172"/>
      <c r="AK31" s="435">
        <f>SUM(AN31:AQ32)+AT31</f>
        <v>20</v>
      </c>
      <c r="AL31" s="435"/>
      <c r="AM31" s="13"/>
      <c r="AN31" s="228">
        <f>IF(D36=0,"",(D34*4)+Таблицы!M109+Таблицы!U109)</f>
        <v>20</v>
      </c>
      <c r="AO31" s="228"/>
      <c r="AP31" s="436"/>
      <c r="AQ31" s="436"/>
      <c r="AR31" s="13"/>
      <c r="AS31" s="13"/>
      <c r="AT31" s="287">
        <f>IF(Таблицы!M109=20,SUM(AX31*2,BB31*2/2,INT(BF31*2/3),INT(BJ31*2/4),INT(BN31*2/5)),SUM(AX31,INT(BB31/2),INT(BF31/3),INT(BJ31/4),INT(BN31/5)))</f>
        <v>0</v>
      </c>
      <c r="AU31" s="287"/>
      <c r="AV31" s="13"/>
      <c r="AW31" s="434"/>
      <c r="AX31" s="413"/>
      <c r="AY31" s="413"/>
      <c r="AZ31" s="13"/>
      <c r="BA31" s="434"/>
      <c r="BB31" s="413"/>
      <c r="BC31" s="413"/>
      <c r="BD31" s="13"/>
      <c r="BE31" s="434"/>
      <c r="BF31" s="413"/>
      <c r="BG31" s="413"/>
      <c r="BH31" s="13"/>
      <c r="BI31" s="434"/>
      <c r="BJ31" s="413"/>
      <c r="BK31" s="413"/>
      <c r="BL31" s="22"/>
      <c r="BM31" s="434"/>
      <c r="BN31" s="413"/>
      <c r="BO31" s="413"/>
      <c r="BP31" s="13"/>
      <c r="BQ31" s="29"/>
      <c r="BR31" s="13"/>
    </row>
    <row r="32" spans="1:70" ht="7.5" customHeight="1">
      <c r="A32" s="16"/>
      <c r="B32" s="486" t="s">
        <v>117</v>
      </c>
      <c r="C32" s="346"/>
      <c r="D32" s="228">
        <f>SUM(K32+N32,IF(OR(Таблицы!F112=17,Таблицы!F113=17),Таблицы!L52,0))</f>
        <v>5</v>
      </c>
      <c r="E32" s="228"/>
      <c r="F32" s="439"/>
      <c r="G32" s="13"/>
      <c r="H32" s="354" t="str">
        <f>INDEX(Таблицы!F2:L11,Таблицы!G1,4)</f>
        <v>1/10</v>
      </c>
      <c r="I32" s="355"/>
      <c r="J32" s="356"/>
      <c r="K32" s="287">
        <f>INDEX(Таблицы!AF2:AL10,Таблицы!G1,4)</f>
        <v>5</v>
      </c>
      <c r="L32" s="287"/>
      <c r="M32" s="287"/>
      <c r="N32" s="227"/>
      <c r="O32" s="227"/>
      <c r="P32" s="227"/>
      <c r="Q32" s="13"/>
      <c r="R32" s="448" t="s">
        <v>270</v>
      </c>
      <c r="S32" s="449"/>
      <c r="T32" s="449"/>
      <c r="U32" s="449"/>
      <c r="V32" s="449"/>
      <c r="W32" s="449"/>
      <c r="X32" s="450"/>
      <c r="Y32" s="29"/>
      <c r="Z32" s="19"/>
      <c r="AA32" s="15"/>
      <c r="AB32" s="15"/>
      <c r="AC32" s="172"/>
      <c r="AD32" s="172"/>
      <c r="AE32" s="172"/>
      <c r="AF32" s="172"/>
      <c r="AG32" s="172"/>
      <c r="AH32" s="172"/>
      <c r="AI32" s="172"/>
      <c r="AJ32" s="172"/>
      <c r="AK32" s="435"/>
      <c r="AL32" s="435"/>
      <c r="AM32" s="13"/>
      <c r="AN32" s="228"/>
      <c r="AO32" s="228"/>
      <c r="AP32" s="436"/>
      <c r="AQ32" s="436"/>
      <c r="AR32" s="13"/>
      <c r="AS32" s="13"/>
      <c r="AT32" s="228"/>
      <c r="AU32" s="228"/>
      <c r="AV32" s="13"/>
      <c r="AW32" s="434"/>
      <c r="AX32" s="413"/>
      <c r="AY32" s="413"/>
      <c r="AZ32" s="13"/>
      <c r="BA32" s="434"/>
      <c r="BB32" s="413"/>
      <c r="BC32" s="413"/>
      <c r="BD32" s="13"/>
      <c r="BE32" s="434"/>
      <c r="BF32" s="413"/>
      <c r="BG32" s="413"/>
      <c r="BH32" s="13"/>
      <c r="BI32" s="434"/>
      <c r="BJ32" s="413"/>
      <c r="BK32" s="413"/>
      <c r="BL32" s="22"/>
      <c r="BM32" s="434"/>
      <c r="BN32" s="413"/>
      <c r="BO32" s="413"/>
      <c r="BP32" s="13"/>
      <c r="BQ32" s="29"/>
      <c r="BR32" s="13"/>
    </row>
    <row r="33" spans="1:70" ht="7.5" customHeight="1" thickBot="1">
      <c r="A33" s="16"/>
      <c r="B33" s="487"/>
      <c r="C33" s="347"/>
      <c r="D33" s="228"/>
      <c r="E33" s="228"/>
      <c r="F33" s="439"/>
      <c r="G33" s="13"/>
      <c r="H33" s="357"/>
      <c r="I33" s="358"/>
      <c r="J33" s="359"/>
      <c r="K33" s="228"/>
      <c r="L33" s="228"/>
      <c r="M33" s="228"/>
      <c r="N33" s="227"/>
      <c r="O33" s="227"/>
      <c r="P33" s="227"/>
      <c r="Q33" s="13"/>
      <c r="R33" s="451"/>
      <c r="S33" s="452"/>
      <c r="T33" s="452"/>
      <c r="U33" s="452"/>
      <c r="V33" s="452"/>
      <c r="W33" s="452"/>
      <c r="X33" s="453"/>
      <c r="Y33" s="29"/>
      <c r="Z33" s="19"/>
      <c r="AA33" s="15"/>
      <c r="AB33" s="15"/>
      <c r="AC33" s="172" t="s">
        <v>86</v>
      </c>
      <c r="AD33" s="172"/>
      <c r="AE33" s="172"/>
      <c r="AF33" s="172"/>
      <c r="AG33" s="172"/>
      <c r="AH33" s="172"/>
      <c r="AI33" s="172"/>
      <c r="AJ33" s="172"/>
      <c r="AK33" s="435">
        <f>SUM(AN33:AQ34)+AT33</f>
        <v>15</v>
      </c>
      <c r="AL33" s="435"/>
      <c r="AM33" s="13"/>
      <c r="AN33" s="228">
        <f>IF(D36=0,"",(D34*3)+Таблицы!M110+Таблицы!U110)</f>
        <v>15</v>
      </c>
      <c r="AO33" s="228"/>
      <c r="AP33" s="436"/>
      <c r="AQ33" s="436"/>
      <c r="AR33" s="13"/>
      <c r="AS33" s="13"/>
      <c r="AT33" s="287">
        <f>IF(Таблицы!M110=20,SUM(AX33*2,BB33*2/2,INT(BF33*2/3),INT(BJ33*2/4),INT(BN33*2/5)),SUM(AX33,INT(BB33/2),INT(BF33/3),INT(BJ33/4),INT(BN33/5)))</f>
        <v>0</v>
      </c>
      <c r="AU33" s="287"/>
      <c r="AV33" s="13"/>
      <c r="AW33" s="434"/>
      <c r="AX33" s="413"/>
      <c r="AY33" s="413"/>
      <c r="AZ33" s="13"/>
      <c r="BA33" s="434"/>
      <c r="BB33" s="413"/>
      <c r="BC33" s="413"/>
      <c r="BD33" s="13"/>
      <c r="BE33" s="434"/>
      <c r="BF33" s="413"/>
      <c r="BG33" s="413"/>
      <c r="BH33" s="13"/>
      <c r="BI33" s="434"/>
      <c r="BJ33" s="413"/>
      <c r="BK33" s="413"/>
      <c r="BL33" s="22"/>
      <c r="BM33" s="434"/>
      <c r="BN33" s="413"/>
      <c r="BO33" s="413"/>
      <c r="BP33" s="13"/>
      <c r="BQ33" s="29"/>
      <c r="BR33" s="13"/>
    </row>
    <row r="34" spans="1:70" ht="7.5" customHeight="1">
      <c r="A34" s="16"/>
      <c r="B34" s="486" t="s">
        <v>118</v>
      </c>
      <c r="C34" s="346"/>
      <c r="D34" s="228">
        <f>SUM(K34+N34,IF(OR(Таблицы!F112=24,Таблицы!F113=24),Таблицы!L59,0),IF(OR(Таблицы!F112=17,Таблицы!F113=17),Таблицы!L53,0))</f>
        <v>5</v>
      </c>
      <c r="E34" s="228"/>
      <c r="F34" s="439"/>
      <c r="G34" s="13"/>
      <c r="H34" s="354" t="str">
        <f>INDEX(Таблицы!F2:L11,Таблицы!G1,5)</f>
        <v>1/10</v>
      </c>
      <c r="I34" s="355"/>
      <c r="J34" s="356"/>
      <c r="K34" s="287">
        <f>INDEX(Таблицы!AF2:AL10,Таблицы!G1,5)</f>
        <v>5</v>
      </c>
      <c r="L34" s="287"/>
      <c r="M34" s="287"/>
      <c r="N34" s="227"/>
      <c r="O34" s="227"/>
      <c r="P34" s="227"/>
      <c r="Q34" s="13"/>
      <c r="R34" s="254"/>
      <c r="S34" s="254"/>
      <c r="T34" s="254"/>
      <c r="U34" s="254"/>
      <c r="V34" s="254"/>
      <c r="W34" s="254"/>
      <c r="X34" s="254"/>
      <c r="Y34" s="29"/>
      <c r="Z34" s="19"/>
      <c r="AA34" s="15"/>
      <c r="AB34" s="15"/>
      <c r="AC34" s="172"/>
      <c r="AD34" s="172"/>
      <c r="AE34" s="172"/>
      <c r="AF34" s="172"/>
      <c r="AG34" s="172"/>
      <c r="AH34" s="172"/>
      <c r="AI34" s="172"/>
      <c r="AJ34" s="172"/>
      <c r="AK34" s="435"/>
      <c r="AL34" s="435"/>
      <c r="AM34" s="13"/>
      <c r="AN34" s="228"/>
      <c r="AO34" s="228"/>
      <c r="AP34" s="436"/>
      <c r="AQ34" s="436"/>
      <c r="AR34" s="13"/>
      <c r="AS34" s="13"/>
      <c r="AT34" s="228"/>
      <c r="AU34" s="228"/>
      <c r="AV34" s="13"/>
      <c r="AW34" s="434"/>
      <c r="AX34" s="413"/>
      <c r="AY34" s="413"/>
      <c r="AZ34" s="13"/>
      <c r="BA34" s="434"/>
      <c r="BB34" s="413"/>
      <c r="BC34" s="413"/>
      <c r="BD34" s="13"/>
      <c r="BE34" s="434"/>
      <c r="BF34" s="413"/>
      <c r="BG34" s="413"/>
      <c r="BH34" s="13"/>
      <c r="BI34" s="434"/>
      <c r="BJ34" s="413"/>
      <c r="BK34" s="413"/>
      <c r="BL34" s="22"/>
      <c r="BM34" s="434"/>
      <c r="BN34" s="413"/>
      <c r="BO34" s="413"/>
      <c r="BP34" s="13"/>
      <c r="BQ34" s="29"/>
      <c r="BR34" s="13"/>
    </row>
    <row r="35" spans="1:70" ht="7.5" customHeight="1" thickBot="1">
      <c r="A35" s="16"/>
      <c r="B35" s="487"/>
      <c r="C35" s="347"/>
      <c r="D35" s="228"/>
      <c r="E35" s="228"/>
      <c r="F35" s="439"/>
      <c r="G35" s="13"/>
      <c r="H35" s="357"/>
      <c r="I35" s="358"/>
      <c r="J35" s="359"/>
      <c r="K35" s="228"/>
      <c r="L35" s="228"/>
      <c r="M35" s="228"/>
      <c r="N35" s="227"/>
      <c r="O35" s="227"/>
      <c r="P35" s="227"/>
      <c r="Q35" s="13"/>
      <c r="R35" s="468"/>
      <c r="S35" s="468"/>
      <c r="T35" s="468"/>
      <c r="U35" s="468"/>
      <c r="V35" s="468"/>
      <c r="W35" s="468"/>
      <c r="X35" s="468"/>
      <c r="Y35" s="29"/>
      <c r="Z35" s="19"/>
      <c r="AA35" s="15"/>
      <c r="AB35" s="15"/>
      <c r="AC35" s="172" t="s">
        <v>87</v>
      </c>
      <c r="AD35" s="172"/>
      <c r="AE35" s="172"/>
      <c r="AF35" s="172"/>
      <c r="AG35" s="172"/>
      <c r="AH35" s="172"/>
      <c r="AI35" s="172"/>
      <c r="AJ35" s="172"/>
      <c r="AK35" s="435">
        <f>SUM(AN35:AQ36)+AT35</f>
        <v>20</v>
      </c>
      <c r="AL35" s="435"/>
      <c r="AM35" s="13"/>
      <c r="AN35" s="228">
        <f>IF(D36=0,"",(2*SUM(D28,D36)+Таблицы!M111+Таблицы!U111))</f>
        <v>20</v>
      </c>
      <c r="AO35" s="228"/>
      <c r="AP35" s="436"/>
      <c r="AQ35" s="436"/>
      <c r="AR35" s="13"/>
      <c r="AS35" s="13"/>
      <c r="AT35" s="287">
        <f>IF(Таблицы!M111=20,SUM(AX35*2,BB35*2/2,INT(BF35*2/3),INT(BJ35*2/4),INT(BN35*2/5)),SUM(AX35,INT(BB35/2),INT(BF35/3),INT(BJ35/4),INT(BN35/5)))</f>
        <v>0</v>
      </c>
      <c r="AU35" s="287"/>
      <c r="AV35" s="13"/>
      <c r="AW35" s="434"/>
      <c r="AX35" s="413"/>
      <c r="AY35" s="413"/>
      <c r="AZ35" s="13"/>
      <c r="BA35" s="434"/>
      <c r="BB35" s="413"/>
      <c r="BC35" s="413"/>
      <c r="BD35" s="13"/>
      <c r="BE35" s="434"/>
      <c r="BF35" s="413"/>
      <c r="BG35" s="413"/>
      <c r="BH35" s="13"/>
      <c r="BI35" s="434"/>
      <c r="BJ35" s="413"/>
      <c r="BK35" s="413"/>
      <c r="BL35" s="22"/>
      <c r="BM35" s="434"/>
      <c r="BN35" s="413"/>
      <c r="BO35" s="413"/>
      <c r="BP35" s="13"/>
      <c r="BQ35" s="29"/>
      <c r="BR35" s="13"/>
    </row>
    <row r="36" spans="1:70" ht="7.5" customHeight="1">
      <c r="A36" s="16"/>
      <c r="B36" s="486" t="s">
        <v>119</v>
      </c>
      <c r="C36" s="346"/>
      <c r="D36" s="228">
        <f>SUM(K36+N36,IF(OR(Таблицы!F112=4,Таблицы!F113=4),Таблицы!L40,0),IF(OR(Таблицы!F112=17,Таблицы!F113=17),Таблицы!L54,0))</f>
        <v>5</v>
      </c>
      <c r="E36" s="228"/>
      <c r="F36" s="439"/>
      <c r="G36" s="13"/>
      <c r="H36" s="354" t="str">
        <f>INDEX(Таблицы!F2:L11,Таблицы!G1,6)</f>
        <v>1/10</v>
      </c>
      <c r="I36" s="355"/>
      <c r="J36" s="356"/>
      <c r="K36" s="287">
        <f>INDEX(Таблицы!AF2:AL10,Таблицы!G1,6)</f>
        <v>5</v>
      </c>
      <c r="L36" s="287"/>
      <c r="M36" s="287"/>
      <c r="N36" s="342"/>
      <c r="O36" s="437"/>
      <c r="P36" s="343"/>
      <c r="Q36" s="13"/>
      <c r="R36" s="448" t="s">
        <v>273</v>
      </c>
      <c r="S36" s="449"/>
      <c r="T36" s="449"/>
      <c r="U36" s="449"/>
      <c r="V36" s="449"/>
      <c r="W36" s="449"/>
      <c r="X36" s="450"/>
      <c r="Y36" s="29"/>
      <c r="Z36" s="19"/>
      <c r="AA36" s="15"/>
      <c r="AB36" s="15"/>
      <c r="AC36" s="172"/>
      <c r="AD36" s="172"/>
      <c r="AE36" s="172"/>
      <c r="AF36" s="172"/>
      <c r="AG36" s="172"/>
      <c r="AH36" s="172"/>
      <c r="AI36" s="172"/>
      <c r="AJ36" s="172"/>
      <c r="AK36" s="435"/>
      <c r="AL36" s="435"/>
      <c r="AM36" s="13"/>
      <c r="AN36" s="228"/>
      <c r="AO36" s="228"/>
      <c r="AP36" s="436"/>
      <c r="AQ36" s="436"/>
      <c r="AR36" s="13"/>
      <c r="AS36" s="13"/>
      <c r="AT36" s="228"/>
      <c r="AU36" s="228"/>
      <c r="AV36" s="13"/>
      <c r="AW36" s="434"/>
      <c r="AX36" s="413"/>
      <c r="AY36" s="413"/>
      <c r="AZ36" s="13"/>
      <c r="BA36" s="434"/>
      <c r="BB36" s="413"/>
      <c r="BC36" s="413"/>
      <c r="BD36" s="13"/>
      <c r="BE36" s="434"/>
      <c r="BF36" s="413"/>
      <c r="BG36" s="413"/>
      <c r="BH36" s="13"/>
      <c r="BI36" s="434"/>
      <c r="BJ36" s="413"/>
      <c r="BK36" s="413"/>
      <c r="BL36" s="22"/>
      <c r="BM36" s="434"/>
      <c r="BN36" s="413"/>
      <c r="BO36" s="413"/>
      <c r="BP36" s="13"/>
      <c r="BQ36" s="29"/>
      <c r="BR36" s="13"/>
    </row>
    <row r="37" spans="1:70" ht="7.5" customHeight="1" thickBot="1">
      <c r="A37" s="16"/>
      <c r="B37" s="487"/>
      <c r="C37" s="347"/>
      <c r="D37" s="228"/>
      <c r="E37" s="228"/>
      <c r="F37" s="439"/>
      <c r="G37" s="13"/>
      <c r="H37" s="357"/>
      <c r="I37" s="358"/>
      <c r="J37" s="359"/>
      <c r="K37" s="228"/>
      <c r="L37" s="228"/>
      <c r="M37" s="228"/>
      <c r="N37" s="344"/>
      <c r="O37" s="438"/>
      <c r="P37" s="345"/>
      <c r="Q37" s="13"/>
      <c r="R37" s="451"/>
      <c r="S37" s="452"/>
      <c r="T37" s="452"/>
      <c r="U37" s="452"/>
      <c r="V37" s="452"/>
      <c r="W37" s="452"/>
      <c r="X37" s="453"/>
      <c r="Y37" s="29"/>
      <c r="Z37" s="19"/>
      <c r="AA37" s="15"/>
      <c r="AB37" s="15"/>
      <c r="AC37" s="172" t="s">
        <v>88</v>
      </c>
      <c r="AD37" s="172"/>
      <c r="AE37" s="172"/>
      <c r="AF37" s="172"/>
      <c r="AG37" s="172"/>
      <c r="AH37" s="172"/>
      <c r="AI37" s="172"/>
      <c r="AJ37" s="172"/>
      <c r="AK37" s="435">
        <f>SUM(AN37:AQ38)+AT37</f>
        <v>25</v>
      </c>
      <c r="AL37" s="435"/>
      <c r="AM37" s="13"/>
      <c r="AN37" s="228">
        <f>IF(D36=0,"",(D32*5)+Таблицы!M112+Таблицы!U112)</f>
        <v>25</v>
      </c>
      <c r="AO37" s="228"/>
      <c r="AP37" s="436"/>
      <c r="AQ37" s="436"/>
      <c r="AR37" s="13"/>
      <c r="AS37" s="13"/>
      <c r="AT37" s="287">
        <f>IF(Таблицы!M112=20,SUM(AX37*2,BB37*2/2,INT(BF37*2/3),INT(BJ37*2/4),INT(BN37*2/5)),SUM(AX37,INT(BB37/2),INT(BF37/3),INT(BJ37/4),INT(BN37/5)))</f>
        <v>0</v>
      </c>
      <c r="AU37" s="287"/>
      <c r="AV37" s="13"/>
      <c r="AW37" s="434"/>
      <c r="AX37" s="413"/>
      <c r="AY37" s="413"/>
      <c r="AZ37" s="13"/>
      <c r="BA37" s="434"/>
      <c r="BB37" s="413"/>
      <c r="BC37" s="413"/>
      <c r="BD37" s="13"/>
      <c r="BE37" s="434"/>
      <c r="BF37" s="413"/>
      <c r="BG37" s="413"/>
      <c r="BH37" s="13"/>
      <c r="BI37" s="434"/>
      <c r="BJ37" s="413"/>
      <c r="BK37" s="413"/>
      <c r="BL37" s="22"/>
      <c r="BM37" s="434"/>
      <c r="BN37" s="413"/>
      <c r="BO37" s="413"/>
      <c r="BP37" s="13"/>
      <c r="BQ37" s="29"/>
      <c r="BR37" s="13"/>
    </row>
    <row r="38" spans="1:70" ht="7.5" customHeight="1">
      <c r="A38" s="19"/>
      <c r="B38" s="462" t="s">
        <v>120</v>
      </c>
      <c r="C38" s="172"/>
      <c r="D38" s="228">
        <f>SUM(K38+N38,IF(OR(Таблицы!F112=17,Таблицы!F113=17),Таблицы!L55,0))</f>
        <v>5</v>
      </c>
      <c r="E38" s="228"/>
      <c r="F38" s="439"/>
      <c r="G38" s="13"/>
      <c r="H38" s="354" t="str">
        <f>INDEX(Таблицы!F2:L11,Таблицы!G1,7)</f>
        <v>1/10</v>
      </c>
      <c r="I38" s="355"/>
      <c r="J38" s="356"/>
      <c r="K38" s="287">
        <f>INDEX(Таблицы!AF2:AL10,Таблицы!G1,7)</f>
        <v>5</v>
      </c>
      <c r="L38" s="287"/>
      <c r="M38" s="287"/>
      <c r="N38" s="227"/>
      <c r="O38" s="227"/>
      <c r="P38" s="227"/>
      <c r="Q38" s="13"/>
      <c r="R38" s="469"/>
      <c r="S38" s="469"/>
      <c r="T38" s="469"/>
      <c r="U38" s="469"/>
      <c r="V38" s="469"/>
      <c r="W38" s="469"/>
      <c r="X38" s="469"/>
      <c r="Y38" s="29"/>
      <c r="Z38" s="19"/>
      <c r="AA38" s="15"/>
      <c r="AB38" s="15"/>
      <c r="AC38" s="172"/>
      <c r="AD38" s="172"/>
      <c r="AE38" s="172"/>
      <c r="AF38" s="172"/>
      <c r="AG38" s="172"/>
      <c r="AH38" s="172"/>
      <c r="AI38" s="172"/>
      <c r="AJ38" s="172"/>
      <c r="AK38" s="435"/>
      <c r="AL38" s="435"/>
      <c r="AM38" s="13"/>
      <c r="AN38" s="228"/>
      <c r="AO38" s="228"/>
      <c r="AP38" s="436"/>
      <c r="AQ38" s="436"/>
      <c r="AR38" s="13"/>
      <c r="AS38" s="13"/>
      <c r="AT38" s="228"/>
      <c r="AU38" s="228"/>
      <c r="AV38" s="13"/>
      <c r="AW38" s="434"/>
      <c r="AX38" s="413"/>
      <c r="AY38" s="413"/>
      <c r="AZ38" s="13"/>
      <c r="BA38" s="434"/>
      <c r="BB38" s="413"/>
      <c r="BC38" s="413"/>
      <c r="BD38" s="13"/>
      <c r="BE38" s="434"/>
      <c r="BF38" s="413"/>
      <c r="BG38" s="413"/>
      <c r="BH38" s="13"/>
      <c r="BI38" s="434"/>
      <c r="BJ38" s="413"/>
      <c r="BK38" s="413"/>
      <c r="BL38" s="22"/>
      <c r="BM38" s="434"/>
      <c r="BN38" s="413"/>
      <c r="BO38" s="413"/>
      <c r="BP38" s="13"/>
      <c r="BQ38" s="29"/>
      <c r="BR38" s="13"/>
    </row>
    <row r="39" spans="1:70" ht="7.5" customHeight="1" thickBot="1">
      <c r="A39" s="16"/>
      <c r="B39" s="463"/>
      <c r="C39" s="464"/>
      <c r="D39" s="440"/>
      <c r="E39" s="440"/>
      <c r="F39" s="441"/>
      <c r="G39" s="13"/>
      <c r="H39" s="357"/>
      <c r="I39" s="358"/>
      <c r="J39" s="359"/>
      <c r="K39" s="228"/>
      <c r="L39" s="228"/>
      <c r="M39" s="228"/>
      <c r="N39" s="227"/>
      <c r="O39" s="227"/>
      <c r="P39" s="227"/>
      <c r="Q39" s="13"/>
      <c r="R39" s="470"/>
      <c r="S39" s="470"/>
      <c r="T39" s="470"/>
      <c r="U39" s="470"/>
      <c r="V39" s="470"/>
      <c r="W39" s="470"/>
      <c r="X39" s="470"/>
      <c r="Y39" s="29"/>
      <c r="Z39" s="19"/>
      <c r="AA39" s="15"/>
      <c r="AB39" s="15"/>
      <c r="AC39" s="172" t="s">
        <v>89</v>
      </c>
      <c r="AD39" s="172"/>
      <c r="AE39" s="172"/>
      <c r="AF39" s="172"/>
      <c r="AG39" s="172"/>
      <c r="AH39" s="172"/>
      <c r="AI39" s="172"/>
      <c r="AJ39" s="172"/>
      <c r="AK39" s="435">
        <f>SUM(AN39:AQ40)+AT39</f>
        <v>20</v>
      </c>
      <c r="AL39" s="435"/>
      <c r="AM39" s="13"/>
      <c r="AN39" s="228">
        <f>IF(D36=0,"",(D32*4)+Таблицы!M113+Таблицы!U113)</f>
        <v>20</v>
      </c>
      <c r="AO39" s="228"/>
      <c r="AP39" s="436"/>
      <c r="AQ39" s="436"/>
      <c r="AR39" s="13"/>
      <c r="AS39" s="13"/>
      <c r="AT39" s="287">
        <f>IF(Таблицы!M113=20,SUM(AX39*2,BB39*2/2,INT(BF39*2/3),INT(BJ39*2/4),INT(BN39*2/5)),SUM(AX39,INT(BB39/2),INT(BF39/3),INT(BJ39/4),INT(BN39/5)))</f>
        <v>0</v>
      </c>
      <c r="AU39" s="287"/>
      <c r="AV39" s="13"/>
      <c r="AW39" s="434"/>
      <c r="AX39" s="413"/>
      <c r="AY39" s="413"/>
      <c r="AZ39" s="13"/>
      <c r="BA39" s="434"/>
      <c r="BB39" s="413"/>
      <c r="BC39" s="413"/>
      <c r="BD39" s="13"/>
      <c r="BE39" s="434"/>
      <c r="BF39" s="413"/>
      <c r="BG39" s="413"/>
      <c r="BH39" s="13"/>
      <c r="BI39" s="434"/>
      <c r="BJ39" s="413"/>
      <c r="BK39" s="413"/>
      <c r="BL39" s="22"/>
      <c r="BM39" s="434"/>
      <c r="BN39" s="413"/>
      <c r="BO39" s="413"/>
      <c r="BP39" s="13"/>
      <c r="BQ39" s="29"/>
      <c r="BR39" s="13"/>
    </row>
    <row r="40" spans="1:70" ht="7.5" customHeight="1">
      <c r="A40" s="65"/>
      <c r="B40" s="67"/>
      <c r="C40" s="67"/>
      <c r="D40" s="46"/>
      <c r="E40" s="46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63"/>
      <c r="X40" s="63"/>
      <c r="Y40" s="66"/>
      <c r="Z40" s="19"/>
      <c r="AA40" s="15"/>
      <c r="AB40" s="15"/>
      <c r="AC40" s="172"/>
      <c r="AD40" s="172"/>
      <c r="AE40" s="172"/>
      <c r="AF40" s="172"/>
      <c r="AG40" s="172"/>
      <c r="AH40" s="172"/>
      <c r="AI40" s="172"/>
      <c r="AJ40" s="172"/>
      <c r="AK40" s="435"/>
      <c r="AL40" s="435"/>
      <c r="AM40" s="13"/>
      <c r="AN40" s="228"/>
      <c r="AO40" s="228"/>
      <c r="AP40" s="436"/>
      <c r="AQ40" s="436"/>
      <c r="AR40" s="13"/>
      <c r="AS40" s="13"/>
      <c r="AT40" s="228"/>
      <c r="AU40" s="228"/>
      <c r="AV40" s="13"/>
      <c r="AW40" s="434"/>
      <c r="AX40" s="413"/>
      <c r="AY40" s="413"/>
      <c r="AZ40" s="13"/>
      <c r="BA40" s="434"/>
      <c r="BB40" s="413"/>
      <c r="BC40" s="413"/>
      <c r="BD40" s="13"/>
      <c r="BE40" s="434"/>
      <c r="BF40" s="413"/>
      <c r="BG40" s="413"/>
      <c r="BH40" s="13"/>
      <c r="BI40" s="434"/>
      <c r="BJ40" s="413"/>
      <c r="BK40" s="413"/>
      <c r="BL40" s="13"/>
      <c r="BM40" s="434"/>
      <c r="BN40" s="413"/>
      <c r="BO40" s="413"/>
      <c r="BP40" s="13"/>
      <c r="BQ40" s="29"/>
      <c r="BR40" s="13"/>
    </row>
    <row r="41" spans="1:70" ht="7.5" customHeight="1" thickBot="1">
      <c r="A41" s="19"/>
      <c r="B41" s="7"/>
      <c r="C41" s="7"/>
      <c r="D41" s="13"/>
      <c r="E41" s="13"/>
      <c r="F41" s="3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4"/>
      <c r="X41" s="4"/>
      <c r="Y41" s="29"/>
      <c r="Z41" s="19"/>
      <c r="AA41" s="15"/>
      <c r="AB41" s="15"/>
      <c r="AC41" s="172" t="s">
        <v>90</v>
      </c>
      <c r="AD41" s="172"/>
      <c r="AE41" s="172"/>
      <c r="AF41" s="172"/>
      <c r="AG41" s="172"/>
      <c r="AH41" s="172"/>
      <c r="AI41" s="172"/>
      <c r="AJ41" s="172"/>
      <c r="AK41" s="435">
        <f>SUM(AN41:AQ42)+AT41</f>
        <v>25</v>
      </c>
      <c r="AL41" s="435"/>
      <c r="AM41" s="13"/>
      <c r="AN41" s="228">
        <f>IF(D36=0,"",(D38*5)+Таблицы!M114+Таблицы!U114)</f>
        <v>25</v>
      </c>
      <c r="AO41" s="228"/>
      <c r="AP41" s="436"/>
      <c r="AQ41" s="436"/>
      <c r="AR41" s="13"/>
      <c r="AS41" s="13"/>
      <c r="AT41" s="287">
        <f>IF(Таблицы!M114=20,SUM(AX41*2,BB41*2/2,INT(BF41*2/3),INT(BJ41*2/4),INT(BN41*2/5)),SUM(AX41,INT(BB41/2),INT(BF41/3),INT(BJ41/4),INT(BN41/5)))</f>
        <v>0</v>
      </c>
      <c r="AU41" s="287"/>
      <c r="AV41" s="13"/>
      <c r="AW41" s="434"/>
      <c r="AX41" s="413"/>
      <c r="AY41" s="413"/>
      <c r="AZ41" s="13"/>
      <c r="BA41" s="434"/>
      <c r="BB41" s="413"/>
      <c r="BC41" s="413"/>
      <c r="BD41" s="13"/>
      <c r="BE41" s="434"/>
      <c r="BF41" s="413"/>
      <c r="BG41" s="413"/>
      <c r="BH41" s="13"/>
      <c r="BI41" s="434"/>
      <c r="BJ41" s="413"/>
      <c r="BK41" s="413"/>
      <c r="BL41" s="13"/>
      <c r="BM41" s="434"/>
      <c r="BN41" s="413"/>
      <c r="BO41" s="413"/>
      <c r="BP41" s="13"/>
      <c r="BQ41" s="29"/>
      <c r="BR41" s="13"/>
    </row>
    <row r="42" spans="1:70" ht="7.5" customHeight="1">
      <c r="A42" s="19"/>
      <c r="B42" s="423" t="s">
        <v>257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 t="s">
        <v>222</v>
      </c>
      <c r="P42" s="424"/>
      <c r="Q42" s="425"/>
      <c r="R42" s="13"/>
      <c r="S42" s="454" t="s">
        <v>74</v>
      </c>
      <c r="T42" s="455"/>
      <c r="U42" s="455"/>
      <c r="V42" s="458" t="s">
        <v>8</v>
      </c>
      <c r="W42" s="458"/>
      <c r="X42" s="459"/>
      <c r="Y42" s="29"/>
      <c r="Z42" s="19"/>
      <c r="AA42" s="15"/>
      <c r="AB42" s="15"/>
      <c r="AC42" s="172"/>
      <c r="AD42" s="172"/>
      <c r="AE42" s="172"/>
      <c r="AF42" s="172"/>
      <c r="AG42" s="172"/>
      <c r="AH42" s="172"/>
      <c r="AI42" s="172"/>
      <c r="AJ42" s="172"/>
      <c r="AK42" s="435"/>
      <c r="AL42" s="435"/>
      <c r="AM42" s="13"/>
      <c r="AN42" s="228"/>
      <c r="AO42" s="228"/>
      <c r="AP42" s="436"/>
      <c r="AQ42" s="436"/>
      <c r="AR42" s="13"/>
      <c r="AS42" s="13"/>
      <c r="AT42" s="228"/>
      <c r="AU42" s="228"/>
      <c r="AV42" s="13"/>
      <c r="AW42" s="434"/>
      <c r="AX42" s="413"/>
      <c r="AY42" s="413"/>
      <c r="AZ42" s="13"/>
      <c r="BA42" s="434"/>
      <c r="BB42" s="413"/>
      <c r="BC42" s="413"/>
      <c r="BD42" s="13"/>
      <c r="BE42" s="434"/>
      <c r="BF42" s="413"/>
      <c r="BG42" s="413"/>
      <c r="BH42" s="13"/>
      <c r="BI42" s="434"/>
      <c r="BJ42" s="413"/>
      <c r="BK42" s="413"/>
      <c r="BL42" s="13"/>
      <c r="BM42" s="434"/>
      <c r="BN42" s="413"/>
      <c r="BO42" s="413"/>
      <c r="BP42" s="13"/>
      <c r="BQ42" s="29"/>
      <c r="BR42" s="13"/>
    </row>
    <row r="43" spans="1:70" ht="7.5" customHeight="1" thickBot="1">
      <c r="A43" s="16"/>
      <c r="B43" s="426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8"/>
      <c r="R43" s="13"/>
      <c r="S43" s="456"/>
      <c r="T43" s="457"/>
      <c r="U43" s="457"/>
      <c r="V43" s="460"/>
      <c r="W43" s="460"/>
      <c r="X43" s="461"/>
      <c r="Y43" s="29"/>
      <c r="Z43" s="19"/>
      <c r="AA43" s="15"/>
      <c r="AB43" s="15"/>
      <c r="AC43" s="172" t="s">
        <v>91</v>
      </c>
      <c r="AD43" s="172"/>
      <c r="AE43" s="172"/>
      <c r="AF43" s="172"/>
      <c r="AG43" s="172"/>
      <c r="AH43" s="172"/>
      <c r="AI43" s="172"/>
      <c r="AJ43" s="172"/>
      <c r="AK43" s="435">
        <f>SUM(AN43:AQ44)+AT43</f>
        <v>20</v>
      </c>
      <c r="AL43" s="435"/>
      <c r="AM43" s="13"/>
      <c r="AN43" s="228">
        <f>IF(D36=0,"",(2*SUM(D34,D30)+Таблицы!M115+Таблицы!U115))</f>
        <v>20</v>
      </c>
      <c r="AO43" s="228"/>
      <c r="AP43" s="436"/>
      <c r="AQ43" s="436"/>
      <c r="AR43" s="13"/>
      <c r="AS43" s="13"/>
      <c r="AT43" s="287">
        <f>IF(Таблицы!M115=20,SUM(AX43*2,BB43*2/2,INT(BF43*2/3),INT(BJ43*2/4),INT(BN43*2/5)),SUM(AX43,INT(BB43/2),INT(BF43/3),INT(BJ43/4),INT(BN43/5)))</f>
        <v>0</v>
      </c>
      <c r="AU43" s="287"/>
      <c r="AV43" s="13"/>
      <c r="AW43" s="434"/>
      <c r="AX43" s="413"/>
      <c r="AY43" s="413"/>
      <c r="AZ43" s="13"/>
      <c r="BA43" s="434"/>
      <c r="BB43" s="413"/>
      <c r="BC43" s="413"/>
      <c r="BD43" s="13"/>
      <c r="BE43" s="434"/>
      <c r="BF43" s="413"/>
      <c r="BG43" s="413"/>
      <c r="BH43" s="13"/>
      <c r="BI43" s="434"/>
      <c r="BJ43" s="413"/>
      <c r="BK43" s="413"/>
      <c r="BL43" s="13"/>
      <c r="BM43" s="434"/>
      <c r="BN43" s="413"/>
      <c r="BO43" s="413"/>
      <c r="BP43" s="13"/>
      <c r="BQ43" s="29"/>
      <c r="BR43" s="13"/>
    </row>
    <row r="44" spans="1:70" ht="7.5" customHeight="1">
      <c r="A44" s="19"/>
      <c r="B44" s="336" t="s">
        <v>72</v>
      </c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287">
        <f>SUM(S44:X45)</f>
        <v>30</v>
      </c>
      <c r="P44" s="287"/>
      <c r="Q44" s="465"/>
      <c r="R44" s="13"/>
      <c r="S44" s="472">
        <f>15+(D26+(2*D30))+G20*(B16-1)+INDEX(Таблицы!T2:T10,Таблицы!G1,1)</f>
        <v>30</v>
      </c>
      <c r="T44" s="472"/>
      <c r="U44" s="472"/>
      <c r="V44" s="254"/>
      <c r="W44" s="254"/>
      <c r="X44" s="254"/>
      <c r="Y44" s="29"/>
      <c r="Z44" s="19"/>
      <c r="AA44" s="15"/>
      <c r="AB44" s="8"/>
      <c r="AC44" s="172"/>
      <c r="AD44" s="172"/>
      <c r="AE44" s="172"/>
      <c r="AF44" s="172"/>
      <c r="AG44" s="172"/>
      <c r="AH44" s="172"/>
      <c r="AI44" s="172"/>
      <c r="AJ44" s="172"/>
      <c r="AK44" s="435"/>
      <c r="AL44" s="435"/>
      <c r="AM44" s="13"/>
      <c r="AN44" s="228"/>
      <c r="AO44" s="228"/>
      <c r="AP44" s="436"/>
      <c r="AQ44" s="436"/>
      <c r="AR44" s="15"/>
      <c r="AS44" s="13"/>
      <c r="AT44" s="228"/>
      <c r="AU44" s="228"/>
      <c r="AV44" s="13"/>
      <c r="AW44" s="434"/>
      <c r="AX44" s="413"/>
      <c r="AY44" s="413"/>
      <c r="AZ44" s="13"/>
      <c r="BA44" s="434"/>
      <c r="BB44" s="413"/>
      <c r="BC44" s="413"/>
      <c r="BD44" s="13"/>
      <c r="BE44" s="434"/>
      <c r="BF44" s="413"/>
      <c r="BG44" s="413"/>
      <c r="BH44" s="13"/>
      <c r="BI44" s="434"/>
      <c r="BJ44" s="413"/>
      <c r="BK44" s="413"/>
      <c r="BL44" s="13"/>
      <c r="BM44" s="434"/>
      <c r="BN44" s="413"/>
      <c r="BO44" s="413"/>
      <c r="BP44" s="13"/>
      <c r="BQ44" s="29"/>
      <c r="BR44" s="13"/>
    </row>
    <row r="45" spans="1:81" ht="7.5" customHeight="1">
      <c r="A45" s="16"/>
      <c r="B45" s="408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228"/>
      <c r="P45" s="228"/>
      <c r="Q45" s="439"/>
      <c r="R45" s="13"/>
      <c r="S45" s="473"/>
      <c r="T45" s="473"/>
      <c r="U45" s="473"/>
      <c r="V45" s="227"/>
      <c r="W45" s="227"/>
      <c r="X45" s="227"/>
      <c r="Y45" s="29"/>
      <c r="Z45" s="65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66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</row>
    <row r="46" spans="1:70" ht="7.5" customHeight="1" thickBot="1">
      <c r="A46" s="19"/>
      <c r="B46" s="408" t="s">
        <v>259</v>
      </c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228">
        <f>SUM(S46:X47)</f>
        <v>150</v>
      </c>
      <c r="P46" s="228"/>
      <c r="Q46" s="439"/>
      <c r="R46" s="13"/>
      <c r="S46" s="471">
        <f>IF(OR(Таблицы!F112=4,Таблицы!F113=4),D26*15,25+(D26*25))</f>
        <v>150</v>
      </c>
      <c r="T46" s="471"/>
      <c r="U46" s="471"/>
      <c r="V46" s="227"/>
      <c r="W46" s="227"/>
      <c r="X46" s="227"/>
      <c r="Y46" s="29"/>
      <c r="Z46" s="19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5"/>
      <c r="AX46" s="15"/>
      <c r="AY46" s="15"/>
      <c r="AZ46" s="15"/>
      <c r="BA46" s="15"/>
      <c r="BB46" s="15"/>
      <c r="BC46" s="15"/>
      <c r="BD46" s="15"/>
      <c r="BE46" s="13"/>
      <c r="BF46" s="13"/>
      <c r="BG46" s="13"/>
      <c r="BH46" s="15"/>
      <c r="BI46" s="15"/>
      <c r="BJ46" s="13"/>
      <c r="BK46" s="13"/>
      <c r="BL46" s="13"/>
      <c r="BM46" s="13"/>
      <c r="BN46" s="13"/>
      <c r="BO46" s="13"/>
      <c r="BP46" s="13"/>
      <c r="BQ46" s="29"/>
      <c r="BR46" s="13"/>
    </row>
    <row r="47" spans="1:70" ht="7.5" customHeight="1">
      <c r="A47" s="16"/>
      <c r="B47" s="408"/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228"/>
      <c r="P47" s="228"/>
      <c r="Q47" s="439"/>
      <c r="R47" s="13"/>
      <c r="S47" s="471"/>
      <c r="T47" s="471"/>
      <c r="U47" s="471"/>
      <c r="V47" s="227"/>
      <c r="W47" s="227"/>
      <c r="X47" s="227"/>
      <c r="Y47" s="29"/>
      <c r="Z47" s="19"/>
      <c r="AA47" s="13"/>
      <c r="AH47" s="176" t="s">
        <v>96</v>
      </c>
      <c r="AI47" s="177"/>
      <c r="AJ47" s="177"/>
      <c r="AK47" s="177"/>
      <c r="AL47" s="177"/>
      <c r="AM47" s="177"/>
      <c r="AN47" s="177"/>
      <c r="AO47" s="177"/>
      <c r="AP47" s="177"/>
      <c r="AQ47" s="177"/>
      <c r="AR47" s="178"/>
      <c r="AS47" s="23"/>
      <c r="AT47" s="402" t="s">
        <v>102</v>
      </c>
      <c r="AU47" s="263"/>
      <c r="AV47" s="263"/>
      <c r="AW47" s="263"/>
      <c r="AX47" s="263"/>
      <c r="AY47" s="263"/>
      <c r="AZ47" s="263"/>
      <c r="BA47" s="263"/>
      <c r="BB47" s="262" t="s">
        <v>276</v>
      </c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4"/>
      <c r="BP47" s="13"/>
      <c r="BQ47" s="29"/>
      <c r="BR47" s="13"/>
    </row>
    <row r="48" spans="1:70" ht="7.5" customHeight="1">
      <c r="A48" s="19"/>
      <c r="B48" s="408" t="s">
        <v>260</v>
      </c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228">
        <f>SUM(S48:X49)</f>
        <v>7</v>
      </c>
      <c r="P48" s="228"/>
      <c r="Q48" s="439"/>
      <c r="R48" s="13"/>
      <c r="S48" s="471">
        <f>IF(K26="","",SUM(ROUNDDOWN(5+(D36/2),0),IF(OR(Таблицы!F112=3,Таблицы!F113=3),Таблицы!L39,0)))</f>
        <v>7</v>
      </c>
      <c r="T48" s="471"/>
      <c r="U48" s="471"/>
      <c r="V48" s="227"/>
      <c r="W48" s="227"/>
      <c r="X48" s="227"/>
      <c r="Y48" s="29"/>
      <c r="Z48" s="19"/>
      <c r="AA48" s="4"/>
      <c r="AH48" s="179"/>
      <c r="AI48" s="180"/>
      <c r="AJ48" s="180"/>
      <c r="AK48" s="180"/>
      <c r="AL48" s="180"/>
      <c r="AM48" s="180"/>
      <c r="AN48" s="180"/>
      <c r="AO48" s="180"/>
      <c r="AP48" s="180"/>
      <c r="AQ48" s="180"/>
      <c r="AR48" s="181"/>
      <c r="AS48" s="23"/>
      <c r="AT48" s="403"/>
      <c r="AU48" s="266"/>
      <c r="AV48" s="266"/>
      <c r="AW48" s="266"/>
      <c r="AX48" s="266"/>
      <c r="AY48" s="266"/>
      <c r="AZ48" s="266"/>
      <c r="BA48" s="266"/>
      <c r="BB48" s="265"/>
      <c r="BC48" s="266"/>
      <c r="BD48" s="266"/>
      <c r="BE48" s="266"/>
      <c r="BF48" s="266"/>
      <c r="BG48" s="266"/>
      <c r="BH48" s="266"/>
      <c r="BI48" s="266"/>
      <c r="BJ48" s="266"/>
      <c r="BK48" s="266"/>
      <c r="BL48" s="266"/>
      <c r="BM48" s="266"/>
      <c r="BN48" s="266"/>
      <c r="BO48" s="267"/>
      <c r="BP48" s="13"/>
      <c r="BQ48" s="29"/>
      <c r="BR48" s="13"/>
    </row>
    <row r="49" spans="1:70" ht="7.5" customHeight="1" thickBot="1">
      <c r="A49" s="24"/>
      <c r="B49" s="40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228"/>
      <c r="P49" s="228"/>
      <c r="Q49" s="439"/>
      <c r="R49" s="13"/>
      <c r="S49" s="471"/>
      <c r="T49" s="471"/>
      <c r="U49" s="471"/>
      <c r="V49" s="227"/>
      <c r="W49" s="227"/>
      <c r="X49" s="227"/>
      <c r="Y49" s="29"/>
      <c r="Z49" s="3"/>
      <c r="AA49" s="4"/>
      <c r="AH49" s="173"/>
      <c r="AI49" s="174"/>
      <c r="AJ49" s="174"/>
      <c r="AK49" s="174"/>
      <c r="AL49" s="174"/>
      <c r="AM49" s="174"/>
      <c r="AN49" s="174"/>
      <c r="AO49" s="174"/>
      <c r="AP49" s="174"/>
      <c r="AQ49" s="174"/>
      <c r="AR49" s="175"/>
      <c r="AS49" s="13"/>
      <c r="AT49" s="404"/>
      <c r="AU49" s="269"/>
      <c r="AV49" s="269"/>
      <c r="AW49" s="269"/>
      <c r="AX49" s="269"/>
      <c r="AY49" s="269"/>
      <c r="AZ49" s="269"/>
      <c r="BA49" s="269"/>
      <c r="BB49" s="268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70"/>
      <c r="BP49" s="13"/>
      <c r="BQ49" s="29"/>
      <c r="BR49" s="13"/>
    </row>
    <row r="50" spans="1:70" ht="7.5" customHeight="1">
      <c r="A50" s="24"/>
      <c r="B50" s="408" t="s">
        <v>261</v>
      </c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228">
        <f>SUM(S50:X51)</f>
        <v>10</v>
      </c>
      <c r="P50" s="228"/>
      <c r="Q50" s="439"/>
      <c r="R50" s="13"/>
      <c r="S50" s="471">
        <f>IF(OR(Таблицы!F112=7,Таблицы!F113=7),SUM(2*D28,Таблицы!L44),2*D28)</f>
        <v>10</v>
      </c>
      <c r="T50" s="471"/>
      <c r="U50" s="471"/>
      <c r="V50" s="227"/>
      <c r="W50" s="227"/>
      <c r="X50" s="227"/>
      <c r="Y50" s="29"/>
      <c r="Z50" s="19"/>
      <c r="AA50" s="13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13"/>
      <c r="AT50" s="405" t="s">
        <v>1193</v>
      </c>
      <c r="AU50" s="405"/>
      <c r="AV50" s="405"/>
      <c r="AW50" s="405"/>
      <c r="AX50" s="405"/>
      <c r="AY50" s="405"/>
      <c r="AZ50" s="405"/>
      <c r="BA50" s="405"/>
      <c r="BB50" s="271" t="s">
        <v>1194</v>
      </c>
      <c r="BC50" s="271"/>
      <c r="BD50" s="271"/>
      <c r="BE50" s="271"/>
      <c r="BF50" s="271"/>
      <c r="BG50" s="271"/>
      <c r="BH50" s="271"/>
      <c r="BI50" s="271"/>
      <c r="BJ50" s="271"/>
      <c r="BK50" s="271"/>
      <c r="BL50" s="271"/>
      <c r="BM50" s="271"/>
      <c r="BN50" s="271"/>
      <c r="BO50" s="271"/>
      <c r="BP50" s="13"/>
      <c r="BQ50" s="29"/>
      <c r="BR50" s="13"/>
    </row>
    <row r="51" spans="1:70" ht="7.5" customHeight="1">
      <c r="A51" s="19"/>
      <c r="B51" s="408"/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228"/>
      <c r="P51" s="228"/>
      <c r="Q51" s="439"/>
      <c r="R51" s="4"/>
      <c r="S51" s="471"/>
      <c r="T51" s="471"/>
      <c r="U51" s="471"/>
      <c r="V51" s="227"/>
      <c r="W51" s="227"/>
      <c r="X51" s="227"/>
      <c r="Y51" s="37"/>
      <c r="Z51" s="19"/>
      <c r="AA51" s="4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13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13"/>
      <c r="BQ51" s="29"/>
      <c r="BR51" s="13"/>
    </row>
    <row r="52" spans="1:70" ht="7.5" customHeight="1">
      <c r="A52" s="16"/>
      <c r="B52" s="408" t="s">
        <v>262</v>
      </c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228">
        <f>SUM(S52:X53)</f>
        <v>1</v>
      </c>
      <c r="P52" s="228"/>
      <c r="Q52" s="439"/>
      <c r="R52" s="4"/>
      <c r="S52" s="471">
        <f>IF(K26="","",SUM(VLOOKUP(D26,Таблицы!E12:F26,2,FALSE)+IF(Таблицы!G1=5,5,0),IF(OR(Таблицы!F112=8,Таблицы!F113=8),Таблицы!L45,0),IF(OR(Таблицы!F112=24,Таблицы!F113=24),Таблицы!L60,0)))</f>
        <v>1</v>
      </c>
      <c r="T52" s="471"/>
      <c r="U52" s="471"/>
      <c r="V52" s="227"/>
      <c r="W52" s="227"/>
      <c r="X52" s="227"/>
      <c r="Y52" s="37"/>
      <c r="Z52" s="3"/>
      <c r="AA52" s="4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13"/>
      <c r="AT52" s="272" t="s">
        <v>1195</v>
      </c>
      <c r="AU52" s="272"/>
      <c r="AV52" s="272"/>
      <c r="AW52" s="272"/>
      <c r="AX52" s="272"/>
      <c r="AY52" s="272"/>
      <c r="AZ52" s="272"/>
      <c r="BA52" s="272"/>
      <c r="BB52" s="272" t="s">
        <v>1196</v>
      </c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13"/>
      <c r="BQ52" s="29"/>
      <c r="BR52" s="13"/>
    </row>
    <row r="53" spans="1:70" ht="7.5" customHeight="1">
      <c r="A53" s="19"/>
      <c r="B53" s="40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228"/>
      <c r="P53" s="228"/>
      <c r="Q53" s="439"/>
      <c r="R53" s="13"/>
      <c r="S53" s="471"/>
      <c r="T53" s="471"/>
      <c r="U53" s="471"/>
      <c r="V53" s="227"/>
      <c r="W53" s="227"/>
      <c r="X53" s="227"/>
      <c r="Y53" s="29"/>
      <c r="Z53" s="19"/>
      <c r="AA53" s="13"/>
      <c r="AH53" s="406" t="str">
        <f>INDEX(Таблицы!P35:W63,Таблицы!F112,Таблицы!G1)</f>
        <v> </v>
      </c>
      <c r="AI53" s="406"/>
      <c r="AJ53" s="406"/>
      <c r="AK53" s="406"/>
      <c r="AL53" s="406"/>
      <c r="AM53" s="406"/>
      <c r="AN53" s="406"/>
      <c r="AO53" s="406"/>
      <c r="AP53" s="406"/>
      <c r="AQ53" s="406"/>
      <c r="AR53" s="406"/>
      <c r="AS53" s="13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13"/>
      <c r="BQ53" s="29"/>
      <c r="BR53" s="13"/>
    </row>
    <row r="54" spans="1:70" ht="7.5" customHeight="1">
      <c r="A54" s="16"/>
      <c r="B54" s="408" t="s">
        <v>263</v>
      </c>
      <c r="C54" s="398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497">
        <f>SUM(S54:X55)</f>
        <v>0.05</v>
      </c>
      <c r="P54" s="497"/>
      <c r="Q54" s="498"/>
      <c r="R54" s="4"/>
      <c r="S54" s="482">
        <f>IF(OR(Таблицы!F112=6,Таблицы!F113=6),SUM(D38/100,Таблицы!L42),D38/100)</f>
        <v>0.05</v>
      </c>
      <c r="T54" s="482"/>
      <c r="U54" s="482"/>
      <c r="V54" s="495"/>
      <c r="W54" s="495"/>
      <c r="X54" s="495"/>
      <c r="Y54" s="37"/>
      <c r="Z54" s="19"/>
      <c r="AA54" s="4"/>
      <c r="AH54" s="406"/>
      <c r="AI54" s="406"/>
      <c r="AJ54" s="406"/>
      <c r="AK54" s="406"/>
      <c r="AL54" s="406"/>
      <c r="AM54" s="406"/>
      <c r="AN54" s="406"/>
      <c r="AO54" s="406"/>
      <c r="AP54" s="406"/>
      <c r="AQ54" s="406"/>
      <c r="AR54" s="406"/>
      <c r="AS54" s="13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13"/>
      <c r="BQ54" s="29"/>
      <c r="BR54" s="13"/>
    </row>
    <row r="55" spans="1:70" ht="7.5" customHeight="1">
      <c r="A55" s="19"/>
      <c r="B55" s="40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497"/>
      <c r="P55" s="497"/>
      <c r="Q55" s="498"/>
      <c r="R55" s="4"/>
      <c r="S55" s="482"/>
      <c r="T55" s="482"/>
      <c r="U55" s="482"/>
      <c r="V55" s="495"/>
      <c r="W55" s="495"/>
      <c r="X55" s="495"/>
      <c r="Y55" s="37"/>
      <c r="Z55" s="3"/>
      <c r="AA55" s="4"/>
      <c r="AH55" s="406"/>
      <c r="AI55" s="406"/>
      <c r="AJ55" s="406"/>
      <c r="AK55" s="406"/>
      <c r="AL55" s="406"/>
      <c r="AM55" s="406"/>
      <c r="AN55" s="406"/>
      <c r="AO55" s="406"/>
      <c r="AP55" s="406"/>
      <c r="AQ55" s="406"/>
      <c r="AR55" s="406"/>
      <c r="AS55" s="13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13"/>
      <c r="BQ55" s="29"/>
      <c r="BR55" s="13"/>
    </row>
    <row r="56" spans="1:70" ht="7.5" customHeight="1">
      <c r="A56" s="16"/>
      <c r="B56" s="408" t="s">
        <v>264</v>
      </c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228">
        <f>SUM(S56:X57)</f>
        <v>1</v>
      </c>
      <c r="P56" s="228"/>
      <c r="Q56" s="439"/>
      <c r="R56" s="13"/>
      <c r="S56" s="471">
        <f>IF(D30=0,"",SUM(VLOOKUP(D30,Таблицы!H12:I25,2,FALSE),IF(OR(Таблицы!F112=2,Таблицы!F113=2),2,0)))</f>
        <v>1</v>
      </c>
      <c r="T56" s="471"/>
      <c r="U56" s="471"/>
      <c r="V56" s="227"/>
      <c r="W56" s="227"/>
      <c r="X56" s="227"/>
      <c r="Y56" s="29"/>
      <c r="Z56" s="19"/>
      <c r="AA56" s="13"/>
      <c r="AH56" s="406"/>
      <c r="AI56" s="406"/>
      <c r="AJ56" s="406"/>
      <c r="AK56" s="406"/>
      <c r="AL56" s="406"/>
      <c r="AM56" s="406"/>
      <c r="AN56" s="406"/>
      <c r="AO56" s="406"/>
      <c r="AP56" s="406"/>
      <c r="AQ56" s="406"/>
      <c r="AR56" s="406"/>
      <c r="AS56" s="13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13"/>
      <c r="BQ56" s="29"/>
      <c r="BR56" s="13"/>
    </row>
    <row r="57" spans="1:70" ht="7.5" customHeight="1">
      <c r="A57" s="19"/>
      <c r="B57" s="408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228"/>
      <c r="P57" s="228"/>
      <c r="Q57" s="439"/>
      <c r="R57" s="4"/>
      <c r="S57" s="471"/>
      <c r="T57" s="471"/>
      <c r="U57" s="471"/>
      <c r="V57" s="227"/>
      <c r="W57" s="227"/>
      <c r="X57" s="227"/>
      <c r="Y57" s="37"/>
      <c r="Z57" s="19"/>
      <c r="AA57" s="4"/>
      <c r="AH57" s="406"/>
      <c r="AI57" s="406"/>
      <c r="AJ57" s="406"/>
      <c r="AK57" s="406"/>
      <c r="AL57" s="406"/>
      <c r="AM57" s="406"/>
      <c r="AN57" s="406"/>
      <c r="AO57" s="406"/>
      <c r="AP57" s="406"/>
      <c r="AQ57" s="406"/>
      <c r="AR57" s="406"/>
      <c r="AS57" s="13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13"/>
      <c r="BQ57" s="29"/>
      <c r="BR57" s="13"/>
    </row>
    <row r="58" spans="1:70" ht="7.5" customHeight="1">
      <c r="A58" s="16"/>
      <c r="B58" s="408" t="s">
        <v>265</v>
      </c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497">
        <f>SUM(S58:X59)</f>
        <v>0.25</v>
      </c>
      <c r="P58" s="497"/>
      <c r="Q58" s="498"/>
      <c r="R58" s="4"/>
      <c r="S58" s="482">
        <f>IF(D30=0,"",SUM(IF(OR(Таблицы!F112=2,Таблицы!F113=2),INDEX(Таблицы!F2:S10,Таблицы!G1,11),IF(((5*D30)/100)+INDEX(Таблицы!F2:S10,Таблицы!G1,11)&gt;1,1,((5*D30)/100)+INDEX(Таблицы!F2:S10,Таблицы!G1,11)))))</f>
        <v>0.25</v>
      </c>
      <c r="T58" s="482"/>
      <c r="U58" s="482"/>
      <c r="V58" s="495"/>
      <c r="W58" s="495"/>
      <c r="X58" s="495"/>
      <c r="Y58" s="37"/>
      <c r="Z58" s="3"/>
      <c r="AA58" s="4"/>
      <c r="AH58" s="406"/>
      <c r="AI58" s="406"/>
      <c r="AJ58" s="406"/>
      <c r="AK58" s="406"/>
      <c r="AL58" s="406"/>
      <c r="AM58" s="406"/>
      <c r="AN58" s="406"/>
      <c r="AO58" s="406"/>
      <c r="AP58" s="406"/>
      <c r="AQ58" s="406"/>
      <c r="AR58" s="406"/>
      <c r="AS58" s="13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13"/>
      <c r="BQ58" s="29"/>
      <c r="BR58" s="13"/>
    </row>
    <row r="59" spans="1:70" ht="7.5" customHeight="1">
      <c r="A59" s="19"/>
      <c r="B59" s="40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497"/>
      <c r="P59" s="497"/>
      <c r="Q59" s="498"/>
      <c r="R59" s="13"/>
      <c r="S59" s="482"/>
      <c r="T59" s="482"/>
      <c r="U59" s="482"/>
      <c r="V59" s="495"/>
      <c r="W59" s="495"/>
      <c r="X59" s="495"/>
      <c r="Y59" s="29"/>
      <c r="Z59" s="19"/>
      <c r="AA59" s="13"/>
      <c r="AH59" s="407"/>
      <c r="AI59" s="407"/>
      <c r="AJ59" s="407"/>
      <c r="AK59" s="407"/>
      <c r="AL59" s="407"/>
      <c r="AM59" s="407"/>
      <c r="AN59" s="407"/>
      <c r="AO59" s="407"/>
      <c r="AP59" s="407"/>
      <c r="AQ59" s="407"/>
      <c r="AR59" s="407"/>
      <c r="AS59" s="13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13"/>
      <c r="BQ59" s="29"/>
      <c r="BR59" s="13"/>
    </row>
    <row r="60" spans="1:70" ht="7.5" customHeight="1">
      <c r="A60" s="16"/>
      <c r="B60" s="408" t="s">
        <v>266</v>
      </c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497">
        <f>SUM(S60:X61)</f>
        <v>0.1</v>
      </c>
      <c r="P60" s="497"/>
      <c r="Q60" s="498"/>
      <c r="R60" s="4"/>
      <c r="S60" s="482">
        <f>IF(OR(Таблицы!F112=19,Таблицы!F113=19),SUM(Таблицы!L56,IF(D30=0,"",IF(OR(Таблицы!F112=2,Таблицы!F113=2),INDEX(Таблицы!F2:S10,Таблицы!G1,12),IF(((2*D30)/100)+INDEX(Таблицы!F2:S10,Таблицы!G1,12)&gt;1,1,((2*D30)/100)+INDEX(Таблицы!F2:S10,Таблицы!G1,12))))),IF(D30=0,"",IF(OR(Таблицы!F112=2,Таблицы!F113=2),INDEX(Таблицы!F2:S10,Таблицы!G1,12),IF(((2*D30)/100)+INDEX(Таблицы!F2:S10,Таблицы!G1,12)&gt;1,1,((2*D30)/100)+INDEX(Таблицы!F2:S10,Таблицы!G1,12)))))</f>
        <v>0.1</v>
      </c>
      <c r="T60" s="482"/>
      <c r="U60" s="482"/>
      <c r="V60" s="495"/>
      <c r="W60" s="495"/>
      <c r="X60" s="495"/>
      <c r="Y60" s="37"/>
      <c r="Z60" s="19"/>
      <c r="AA60" s="4"/>
      <c r="AH60" s="407"/>
      <c r="AI60" s="407"/>
      <c r="AJ60" s="407"/>
      <c r="AK60" s="407"/>
      <c r="AL60" s="407"/>
      <c r="AM60" s="407"/>
      <c r="AN60" s="407"/>
      <c r="AO60" s="407"/>
      <c r="AP60" s="407"/>
      <c r="AQ60" s="407"/>
      <c r="AR60" s="407"/>
      <c r="AS60" s="13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13"/>
      <c r="BQ60" s="29"/>
      <c r="BR60" s="13"/>
    </row>
    <row r="61" spans="1:70" ht="7.5" customHeight="1">
      <c r="A61" s="19"/>
      <c r="B61" s="408"/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497"/>
      <c r="P61" s="497"/>
      <c r="Q61" s="498"/>
      <c r="R61" s="4"/>
      <c r="S61" s="482"/>
      <c r="T61" s="482"/>
      <c r="U61" s="482"/>
      <c r="V61" s="495"/>
      <c r="W61" s="495"/>
      <c r="X61" s="495"/>
      <c r="Y61" s="37"/>
      <c r="Z61" s="3"/>
      <c r="AA61" s="4"/>
      <c r="AH61" s="407"/>
      <c r="AI61" s="407"/>
      <c r="AJ61" s="407"/>
      <c r="AK61" s="407"/>
      <c r="AL61" s="407"/>
      <c r="AM61" s="407"/>
      <c r="AN61" s="407"/>
      <c r="AO61" s="407"/>
      <c r="AP61" s="407"/>
      <c r="AQ61" s="407"/>
      <c r="AR61" s="407"/>
      <c r="AS61" s="13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13"/>
      <c r="BQ61" s="29"/>
      <c r="BR61" s="13"/>
    </row>
    <row r="62" spans="1:70" ht="7.5" customHeight="1">
      <c r="A62" s="16"/>
      <c r="B62" s="408" t="s">
        <v>267</v>
      </c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54" t="str">
        <f>IF(S62="ИММУНИТЕТ","100/100",IF(V62="",S62,CONCATENATE(SUM(LEFT(S62,2)*1,LEFT(V62,2)*1),"/",SUM(RIGHT(S62,2)*1,RIGHT(V62,2)*1))))</f>
        <v>00/00</v>
      </c>
      <c r="P62" s="355"/>
      <c r="Q62" s="493"/>
      <c r="R62" s="13"/>
      <c r="S62" s="471" t="str">
        <f>IF(D28=0,"",INDEX(Таблицы!F2:N10,Таблицы!G1,9))</f>
        <v>00/00</v>
      </c>
      <c r="T62" s="471"/>
      <c r="U62" s="471"/>
      <c r="V62" s="496"/>
      <c r="W62" s="496"/>
      <c r="X62" s="496"/>
      <c r="Y62" s="29"/>
      <c r="Z62" s="19"/>
      <c r="AA62" s="13"/>
      <c r="AH62" s="406" t="str">
        <f>INDEX(Таблицы!P35:W63,Таблицы!F113,Таблицы!G1)</f>
        <v> </v>
      </c>
      <c r="AI62" s="406"/>
      <c r="AJ62" s="406"/>
      <c r="AK62" s="406"/>
      <c r="AL62" s="406"/>
      <c r="AM62" s="406"/>
      <c r="AN62" s="406"/>
      <c r="AO62" s="406"/>
      <c r="AP62" s="406"/>
      <c r="AQ62" s="406"/>
      <c r="AR62" s="406"/>
      <c r="AS62" s="13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13"/>
      <c r="BQ62" s="29"/>
      <c r="BR62" s="13"/>
    </row>
    <row r="63" spans="1:70" ht="7.5" customHeight="1">
      <c r="A63" s="19"/>
      <c r="B63" s="408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57"/>
      <c r="P63" s="358"/>
      <c r="Q63" s="494"/>
      <c r="R63" s="4"/>
      <c r="S63" s="471"/>
      <c r="T63" s="471"/>
      <c r="U63" s="471"/>
      <c r="V63" s="496"/>
      <c r="W63" s="496"/>
      <c r="X63" s="496"/>
      <c r="Y63" s="37"/>
      <c r="Z63" s="19"/>
      <c r="AA63" s="4"/>
      <c r="AH63" s="406"/>
      <c r="AI63" s="406"/>
      <c r="AJ63" s="406"/>
      <c r="AK63" s="406"/>
      <c r="AL63" s="406"/>
      <c r="AM63" s="406"/>
      <c r="AN63" s="406"/>
      <c r="AO63" s="406"/>
      <c r="AP63" s="406"/>
      <c r="AQ63" s="406"/>
      <c r="AR63" s="406"/>
      <c r="AS63" s="13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2"/>
      <c r="BP63" s="13"/>
      <c r="BQ63" s="29"/>
      <c r="BR63" s="13"/>
    </row>
    <row r="64" spans="1:70" ht="7.5" customHeight="1">
      <c r="A64" s="16"/>
      <c r="B64" s="408" t="s">
        <v>268</v>
      </c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497">
        <f>SUM(S64:X65)</f>
        <v>0.1</v>
      </c>
      <c r="P64" s="497"/>
      <c r="Q64" s="498"/>
      <c r="R64" s="4"/>
      <c r="S64" s="482">
        <f>IF(D26=0,"",INDEX(Таблицы!F2:M10,Таблицы!G1,8))</f>
        <v>0.1</v>
      </c>
      <c r="T64" s="482"/>
      <c r="U64" s="482"/>
      <c r="V64" s="495"/>
      <c r="W64" s="495"/>
      <c r="X64" s="495"/>
      <c r="Y64" s="37"/>
      <c r="Z64" s="3"/>
      <c r="AA64" s="4"/>
      <c r="AH64" s="406"/>
      <c r="AI64" s="406"/>
      <c r="AJ64" s="406"/>
      <c r="AK64" s="406"/>
      <c r="AL64" s="406"/>
      <c r="AM64" s="406"/>
      <c r="AN64" s="406"/>
      <c r="AO64" s="406"/>
      <c r="AP64" s="406"/>
      <c r="AQ64" s="406"/>
      <c r="AR64" s="406"/>
      <c r="AS64" s="13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13"/>
      <c r="BQ64" s="29"/>
      <c r="BR64" s="13"/>
    </row>
    <row r="65" spans="1:70" ht="7.5" customHeight="1">
      <c r="A65" s="19"/>
      <c r="B65" s="40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497"/>
      <c r="P65" s="497"/>
      <c r="Q65" s="498"/>
      <c r="R65" s="13"/>
      <c r="S65" s="482"/>
      <c r="T65" s="482"/>
      <c r="U65" s="482"/>
      <c r="V65" s="495"/>
      <c r="W65" s="495"/>
      <c r="X65" s="495"/>
      <c r="Y65" s="29"/>
      <c r="Z65" s="19"/>
      <c r="AA65" s="13"/>
      <c r="AH65" s="406"/>
      <c r="AI65" s="406"/>
      <c r="AJ65" s="406"/>
      <c r="AK65" s="406"/>
      <c r="AL65" s="406"/>
      <c r="AM65" s="406"/>
      <c r="AN65" s="406"/>
      <c r="AO65" s="406"/>
      <c r="AP65" s="406"/>
      <c r="AQ65" s="406"/>
      <c r="AR65" s="406"/>
      <c r="AS65" s="13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13"/>
      <c r="BQ65" s="29"/>
      <c r="BR65" s="13"/>
    </row>
    <row r="66" spans="1:70" ht="7.5" customHeight="1">
      <c r="A66" s="20"/>
      <c r="B66" s="408" t="s">
        <v>269</v>
      </c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228">
        <f>SUM(S66:X67)</f>
        <v>5</v>
      </c>
      <c r="P66" s="228"/>
      <c r="Q66" s="439"/>
      <c r="R66" s="4"/>
      <c r="S66" s="471">
        <f>IF(OR(Таблицы!F112=22,Таблицы!F113=22),SUM(IF(OR(Таблицы!F112=7,Таблицы!F113=7),Таблицы!L43,D36),Таблицы!L58),IF(OR(Таблицы!F112=7,Таблицы!F113=7),Таблицы!L43,D36))</f>
        <v>5</v>
      </c>
      <c r="T66" s="471"/>
      <c r="U66" s="471"/>
      <c r="V66" s="227"/>
      <c r="W66" s="227"/>
      <c r="X66" s="227"/>
      <c r="Y66" s="37"/>
      <c r="Z66" s="19"/>
      <c r="AA66" s="4"/>
      <c r="AH66" s="406"/>
      <c r="AI66" s="406"/>
      <c r="AJ66" s="406"/>
      <c r="AK66" s="406"/>
      <c r="AL66" s="406"/>
      <c r="AM66" s="406"/>
      <c r="AN66" s="406"/>
      <c r="AO66" s="406"/>
      <c r="AP66" s="406"/>
      <c r="AQ66" s="406"/>
      <c r="AR66" s="406"/>
      <c r="AS66" s="13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13"/>
      <c r="BQ66" s="29"/>
      <c r="BR66" s="13"/>
    </row>
    <row r="67" spans="1:75" ht="7.5" customHeight="1" thickBot="1">
      <c r="A67" s="20"/>
      <c r="B67" s="337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440"/>
      <c r="P67" s="440"/>
      <c r="Q67" s="441"/>
      <c r="R67" s="4"/>
      <c r="S67" s="471"/>
      <c r="T67" s="471"/>
      <c r="U67" s="471"/>
      <c r="V67" s="227"/>
      <c r="W67" s="227"/>
      <c r="X67" s="227"/>
      <c r="Y67" s="37"/>
      <c r="Z67" s="3"/>
      <c r="AA67" s="4"/>
      <c r="AH67" s="406"/>
      <c r="AI67" s="406"/>
      <c r="AJ67" s="406"/>
      <c r="AK67" s="406"/>
      <c r="AL67" s="406"/>
      <c r="AM67" s="406"/>
      <c r="AN67" s="406"/>
      <c r="AO67" s="406"/>
      <c r="AP67" s="406"/>
      <c r="AQ67" s="406"/>
      <c r="AR67" s="406"/>
      <c r="AS67" s="13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13"/>
      <c r="BQ67" s="29"/>
      <c r="BR67" s="13"/>
      <c r="BS67" s="13"/>
      <c r="BT67" s="13"/>
      <c r="BU67" s="13"/>
      <c r="BV67" s="13"/>
      <c r="BW67" s="25"/>
    </row>
    <row r="68" spans="1:75" ht="7.5" customHeight="1" thickBot="1">
      <c r="A68" s="18"/>
      <c r="B68" s="6"/>
      <c r="C68" s="6"/>
      <c r="D68" s="6"/>
      <c r="E68" s="6"/>
      <c r="F68" s="38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3"/>
      <c r="Z68" s="32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43"/>
      <c r="BC68" s="43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3"/>
      <c r="BR68" s="13"/>
      <c r="BS68" s="13"/>
      <c r="BT68" s="13"/>
      <c r="BU68" s="13"/>
      <c r="BV68" s="13"/>
      <c r="BW68" s="25"/>
    </row>
    <row r="69" spans="1:69" ht="7.5" customHeight="1" thickBot="1">
      <c r="A69" s="34"/>
      <c r="B69" s="12"/>
      <c r="C69" s="12"/>
      <c r="D69" s="12"/>
      <c r="E69" s="12"/>
      <c r="F69" s="27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72"/>
      <c r="AC69" s="74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28"/>
    </row>
    <row r="70" spans="1:69" ht="7.5" customHeight="1">
      <c r="A70" s="19"/>
      <c r="B70" s="198" t="s">
        <v>277</v>
      </c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200"/>
      <c r="AB70" s="55"/>
      <c r="AC70" s="50"/>
      <c r="AD70" s="198" t="s">
        <v>290</v>
      </c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200"/>
      <c r="BD70" s="13"/>
      <c r="BE70" s="288" t="s">
        <v>325</v>
      </c>
      <c r="BF70" s="289"/>
      <c r="BG70" s="289"/>
      <c r="BH70" s="290"/>
      <c r="BI70" s="280" t="s">
        <v>307</v>
      </c>
      <c r="BJ70" s="280"/>
      <c r="BK70" s="280"/>
      <c r="BL70" s="280"/>
      <c r="BM70" s="280"/>
      <c r="BN70" s="280"/>
      <c r="BO70" s="280"/>
      <c r="BP70" s="281"/>
      <c r="BQ70" s="29"/>
    </row>
    <row r="71" spans="1:69" ht="7.5" customHeight="1" thickBot="1">
      <c r="A71" s="19"/>
      <c r="B71" s="201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3"/>
      <c r="AB71" s="55"/>
      <c r="AC71" s="50"/>
      <c r="AD71" s="201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3"/>
      <c r="BD71" s="13"/>
      <c r="BE71" s="291"/>
      <c r="BF71" s="292"/>
      <c r="BG71" s="292"/>
      <c r="BH71" s="293"/>
      <c r="BI71" s="282"/>
      <c r="BJ71" s="282"/>
      <c r="BK71" s="282"/>
      <c r="BL71" s="282"/>
      <c r="BM71" s="282"/>
      <c r="BN71" s="282"/>
      <c r="BO71" s="282"/>
      <c r="BP71" s="283"/>
      <c r="BQ71" s="29"/>
    </row>
    <row r="72" spans="1:69" ht="7.5" customHeight="1" thickBot="1">
      <c r="A72" s="19"/>
      <c r="B72" s="244" t="s">
        <v>292</v>
      </c>
      <c r="C72" s="245"/>
      <c r="D72" s="245"/>
      <c r="E72" s="246"/>
      <c r="F72" s="399"/>
      <c r="G72" s="400"/>
      <c r="H72" s="400"/>
      <c r="I72" s="400"/>
      <c r="J72" s="400"/>
      <c r="K72" s="400"/>
      <c r="L72" s="400"/>
      <c r="M72" s="400"/>
      <c r="N72" s="400"/>
      <c r="O72" s="400"/>
      <c r="P72" s="400"/>
      <c r="Q72" s="401"/>
      <c r="R72" s="212" t="s">
        <v>929</v>
      </c>
      <c r="S72" s="213"/>
      <c r="T72" s="225">
        <f>IF(INDEX(Таблицы!AA20:AA242,Таблицы!Y25,1)="","",INDEX(Таблицы!AA20:AA242,Таблицы!Y25,1))</f>
      </c>
      <c r="U72" s="225"/>
      <c r="V72" s="218" t="s">
        <v>942</v>
      </c>
      <c r="W72" s="219"/>
      <c r="X72" s="219"/>
      <c r="Y72" s="219"/>
      <c r="Z72" s="222" t="s">
        <v>943</v>
      </c>
      <c r="AA72" s="55"/>
      <c r="AB72" s="55"/>
      <c r="AC72" s="50"/>
      <c r="AD72" s="244" t="s">
        <v>292</v>
      </c>
      <c r="AE72" s="245"/>
      <c r="AF72" s="245"/>
      <c r="AG72" s="246"/>
      <c r="AH72" s="399"/>
      <c r="AI72" s="400"/>
      <c r="AJ72" s="400"/>
      <c r="AK72" s="400"/>
      <c r="AL72" s="400"/>
      <c r="AM72" s="400"/>
      <c r="AN72" s="400"/>
      <c r="AO72" s="400"/>
      <c r="AP72" s="400"/>
      <c r="AQ72" s="400"/>
      <c r="AR72" s="400"/>
      <c r="AS72" s="401"/>
      <c r="AT72" s="212" t="s">
        <v>929</v>
      </c>
      <c r="AU72" s="213"/>
      <c r="AV72" s="225">
        <f>IF(INDEX(Таблицы!AA20:AA242,Таблицы!Y26,1)="","",INDEX(Таблицы!AA20:AA242,Таблицы!Y26,1))</f>
      </c>
      <c r="AW72" s="225"/>
      <c r="AX72" s="218" t="s">
        <v>942</v>
      </c>
      <c r="AY72" s="219"/>
      <c r="AZ72" s="219"/>
      <c r="BA72" s="219"/>
      <c r="BB72" s="222" t="s">
        <v>943</v>
      </c>
      <c r="BC72" s="55"/>
      <c r="BD72" s="13"/>
      <c r="BE72" s="294"/>
      <c r="BF72" s="295"/>
      <c r="BG72" s="295"/>
      <c r="BH72" s="296"/>
      <c r="BI72" s="284"/>
      <c r="BJ72" s="284"/>
      <c r="BK72" s="284"/>
      <c r="BL72" s="284"/>
      <c r="BM72" s="284"/>
      <c r="BN72" s="284"/>
      <c r="BO72" s="284"/>
      <c r="BP72" s="285"/>
      <c r="BQ72" s="29"/>
    </row>
    <row r="73" spans="1:69" ht="7.5" customHeight="1">
      <c r="A73" s="19"/>
      <c r="B73" s="244"/>
      <c r="C73" s="245"/>
      <c r="D73" s="245"/>
      <c r="E73" s="246"/>
      <c r="F73" s="396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3"/>
      <c r="R73" s="214"/>
      <c r="S73" s="215"/>
      <c r="T73" s="226"/>
      <c r="U73" s="226"/>
      <c r="V73" s="220"/>
      <c r="W73" s="221"/>
      <c r="X73" s="221"/>
      <c r="Y73" s="221"/>
      <c r="Z73" s="223"/>
      <c r="AA73" s="55"/>
      <c r="AB73" s="55"/>
      <c r="AC73" s="50"/>
      <c r="AD73" s="244"/>
      <c r="AE73" s="245"/>
      <c r="AF73" s="245"/>
      <c r="AG73" s="246"/>
      <c r="AH73" s="396"/>
      <c r="AI73" s="282"/>
      <c r="AJ73" s="282"/>
      <c r="AK73" s="282"/>
      <c r="AL73" s="282"/>
      <c r="AM73" s="282"/>
      <c r="AN73" s="282"/>
      <c r="AO73" s="282"/>
      <c r="AP73" s="282"/>
      <c r="AQ73" s="282"/>
      <c r="AR73" s="282"/>
      <c r="AS73" s="283"/>
      <c r="AT73" s="214"/>
      <c r="AU73" s="215"/>
      <c r="AV73" s="226"/>
      <c r="AW73" s="226"/>
      <c r="AX73" s="220"/>
      <c r="AY73" s="221"/>
      <c r="AZ73" s="221"/>
      <c r="BA73" s="221"/>
      <c r="BB73" s="223"/>
      <c r="BC73" s="55"/>
      <c r="BD73" s="13"/>
      <c r="BE73" s="286" t="s">
        <v>308</v>
      </c>
      <c r="BF73" s="286"/>
      <c r="BG73" s="287">
        <f>IF(INDEX(Таблицы!AA483:AA515,Таблицы!Y484,1)="","",INDEX(Таблицы!AA483:AA515,Таблицы!Y484,1))</f>
      </c>
      <c r="BH73" s="287"/>
      <c r="BI73" s="172" t="s">
        <v>309</v>
      </c>
      <c r="BJ73" s="172"/>
      <c r="BK73" s="228">
        <f>IF(INDEX(Таблицы!AB483:AB515,Таблицы!Y484,1)="","",INDEX(Таблицы!AB483:AB515,Таблицы!Y484,1))</f>
      </c>
      <c r="BL73" s="228"/>
      <c r="BM73" s="172" t="s">
        <v>310</v>
      </c>
      <c r="BN73" s="172"/>
      <c r="BO73" s="228">
        <f>IF(INDEX(Таблицы!AC483:AC515,Таблицы!Y484,1)="","",INDEX(Таблицы!AC483:AC515,Таблицы!Y484,1))</f>
      </c>
      <c r="BP73" s="228"/>
      <c r="BQ73" s="29"/>
    </row>
    <row r="74" spans="1:69" ht="7.5" customHeight="1">
      <c r="A74" s="19"/>
      <c r="B74" s="247"/>
      <c r="C74" s="248"/>
      <c r="D74" s="248"/>
      <c r="E74" s="249"/>
      <c r="F74" s="397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5"/>
      <c r="R74" s="216"/>
      <c r="S74" s="217"/>
      <c r="T74" s="226"/>
      <c r="U74" s="226"/>
      <c r="V74" s="50"/>
      <c r="W74" s="13"/>
      <c r="X74" s="13"/>
      <c r="Y74" s="13"/>
      <c r="Z74" s="13"/>
      <c r="AA74" s="55"/>
      <c r="AB74" s="55"/>
      <c r="AC74" s="50"/>
      <c r="AD74" s="247"/>
      <c r="AE74" s="248"/>
      <c r="AF74" s="248"/>
      <c r="AG74" s="249"/>
      <c r="AH74" s="397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5"/>
      <c r="AT74" s="216"/>
      <c r="AU74" s="217"/>
      <c r="AV74" s="226"/>
      <c r="AW74" s="226"/>
      <c r="AX74" s="50"/>
      <c r="AY74" s="13"/>
      <c r="AZ74" s="13"/>
      <c r="BA74" s="13"/>
      <c r="BB74" s="13"/>
      <c r="BC74" s="55"/>
      <c r="BD74" s="13"/>
      <c r="BE74" s="172"/>
      <c r="BF74" s="172"/>
      <c r="BG74" s="228"/>
      <c r="BH74" s="228"/>
      <c r="BI74" s="172"/>
      <c r="BJ74" s="172"/>
      <c r="BK74" s="228"/>
      <c r="BL74" s="228"/>
      <c r="BM74" s="172"/>
      <c r="BN74" s="172"/>
      <c r="BO74" s="228"/>
      <c r="BP74" s="228"/>
      <c r="BQ74" s="29"/>
    </row>
    <row r="75" spans="1:69" ht="7.5" customHeight="1">
      <c r="A75" s="19"/>
      <c r="B75" s="172" t="s">
        <v>278</v>
      </c>
      <c r="C75" s="170">
        <f>IF(INDEX(Таблицы!AB20:AB242,Таблицы!Y25,1)="","",INDEX(Таблицы!AB20:AB242,Таблицы!Y25,1))</f>
      </c>
      <c r="D75" s="171"/>
      <c r="E75" s="169"/>
      <c r="F75" s="172" t="s">
        <v>279</v>
      </c>
      <c r="G75" s="172"/>
      <c r="H75" s="163">
        <f>IF(INDEX(Таблицы!AC20:AC242,Таблицы!Y25,1)="","",INDEX(Таблицы!AC20:AC242,Таблицы!Y25,1))</f>
      </c>
      <c r="I75" s="164"/>
      <c r="J75" s="164"/>
      <c r="K75" s="164"/>
      <c r="L75" s="164"/>
      <c r="M75" s="164"/>
      <c r="N75" s="164"/>
      <c r="O75" s="165"/>
      <c r="P75" s="172" t="s">
        <v>280</v>
      </c>
      <c r="Q75" s="172"/>
      <c r="R75" s="354">
        <f>IF(INDEX(Таблицы!AD20:AD242,Таблицы!Y25,1)="","",INDEX(Таблицы!AD20:AD242,Таблицы!Y25,1))</f>
      </c>
      <c r="S75" s="355"/>
      <c r="T75" s="355"/>
      <c r="U75" s="356"/>
      <c r="V75" s="50"/>
      <c r="W75" s="13"/>
      <c r="X75" s="13"/>
      <c r="Y75" s="13"/>
      <c r="Z75" s="13"/>
      <c r="AA75" s="55"/>
      <c r="AB75" s="55"/>
      <c r="AC75" s="50"/>
      <c r="AD75" s="172" t="s">
        <v>278</v>
      </c>
      <c r="AE75" s="170">
        <f>IF(INDEX(Таблицы!AB20:AB242,Таблицы!Y26,1)="","",INDEX(Таблицы!AB20:AB242,Таблицы!Y26,1))</f>
      </c>
      <c r="AF75" s="171"/>
      <c r="AG75" s="169"/>
      <c r="AH75" s="172" t="s">
        <v>279</v>
      </c>
      <c r="AI75" s="172"/>
      <c r="AJ75" s="163">
        <f>IF(INDEX(Таблицы!AC20:AC242,Таблицы!Y26,1)="","",INDEX(Таблицы!AC20:AC242,Таблицы!Y26,1))</f>
      </c>
      <c r="AK75" s="164"/>
      <c r="AL75" s="164"/>
      <c r="AM75" s="164"/>
      <c r="AN75" s="164"/>
      <c r="AO75" s="164"/>
      <c r="AP75" s="164"/>
      <c r="AQ75" s="165"/>
      <c r="AR75" s="172" t="s">
        <v>280</v>
      </c>
      <c r="AS75" s="172"/>
      <c r="AT75" s="354">
        <f>IF(INDEX(Таблицы!AD20:AD242,Таблицы!Y26,1)="","",INDEX(Таблицы!AD20:AD242,Таблицы!Y26,1))</f>
      </c>
      <c r="AU75" s="355"/>
      <c r="AV75" s="355"/>
      <c r="AW75" s="356"/>
      <c r="AX75" s="50"/>
      <c r="AY75" s="13"/>
      <c r="AZ75" s="13"/>
      <c r="BA75" s="13"/>
      <c r="BB75" s="13"/>
      <c r="BC75" s="55"/>
      <c r="BD75" s="13"/>
      <c r="BE75" s="172" t="s">
        <v>311</v>
      </c>
      <c r="BF75" s="172"/>
      <c r="BG75" s="228">
        <f>IF(INDEX(Таблицы!AD483:AD515,Таблицы!Y484,1)="","",INDEX(Таблицы!AD483:AD515,Таблицы!Y484,1))</f>
      </c>
      <c r="BH75" s="228"/>
      <c r="BI75" s="172" t="s">
        <v>312</v>
      </c>
      <c r="BJ75" s="172"/>
      <c r="BK75" s="228">
        <f>IF(INDEX(Таблицы!AE483:AE515,Таблицы!Y484,1)="","",INDEX(Таблицы!AE483:AE515,Таблицы!Y484,1))</f>
      </c>
      <c r="BL75" s="228"/>
      <c r="BM75" s="172" t="s">
        <v>313</v>
      </c>
      <c r="BN75" s="172"/>
      <c r="BO75" s="228">
        <f>IF(INDEX(Таблицы!AF483:AF515,Таблицы!Y484,1)="","",INDEX(Таблицы!AF483:AF515,Таблицы!Y484,1))</f>
      </c>
      <c r="BP75" s="228"/>
      <c r="BQ75" s="29"/>
    </row>
    <row r="76" spans="1:69" ht="7.5" customHeight="1">
      <c r="A76" s="19"/>
      <c r="B76" s="172"/>
      <c r="C76" s="168"/>
      <c r="D76" s="166"/>
      <c r="E76" s="167"/>
      <c r="F76" s="172"/>
      <c r="G76" s="172"/>
      <c r="H76" s="162"/>
      <c r="I76" s="196"/>
      <c r="J76" s="196"/>
      <c r="K76" s="196"/>
      <c r="L76" s="196"/>
      <c r="M76" s="196"/>
      <c r="N76" s="196"/>
      <c r="O76" s="197"/>
      <c r="P76" s="172"/>
      <c r="Q76" s="172"/>
      <c r="R76" s="357"/>
      <c r="S76" s="358"/>
      <c r="T76" s="358"/>
      <c r="U76" s="359"/>
      <c r="V76" s="360" t="s">
        <v>100</v>
      </c>
      <c r="W76" s="361"/>
      <c r="X76" s="224">
        <v>1</v>
      </c>
      <c r="Y76" s="224"/>
      <c r="Z76" s="224">
        <v>2</v>
      </c>
      <c r="AA76" s="224"/>
      <c r="AB76" s="55"/>
      <c r="AC76" s="50"/>
      <c r="AD76" s="172"/>
      <c r="AE76" s="168"/>
      <c r="AF76" s="166"/>
      <c r="AG76" s="167"/>
      <c r="AH76" s="172"/>
      <c r="AI76" s="172"/>
      <c r="AJ76" s="162"/>
      <c r="AK76" s="196"/>
      <c r="AL76" s="196"/>
      <c r="AM76" s="196"/>
      <c r="AN76" s="196"/>
      <c r="AO76" s="196"/>
      <c r="AP76" s="196"/>
      <c r="AQ76" s="197"/>
      <c r="AR76" s="172"/>
      <c r="AS76" s="172"/>
      <c r="AT76" s="357"/>
      <c r="AU76" s="358"/>
      <c r="AV76" s="358"/>
      <c r="AW76" s="359"/>
      <c r="AX76" s="360" t="s">
        <v>100</v>
      </c>
      <c r="AY76" s="361"/>
      <c r="AZ76" s="224">
        <v>1</v>
      </c>
      <c r="BA76" s="224"/>
      <c r="BB76" s="224">
        <v>2</v>
      </c>
      <c r="BC76" s="224"/>
      <c r="BD76" s="13"/>
      <c r="BE76" s="172"/>
      <c r="BF76" s="172"/>
      <c r="BG76" s="228"/>
      <c r="BH76" s="228"/>
      <c r="BI76" s="172"/>
      <c r="BJ76" s="172"/>
      <c r="BK76" s="228"/>
      <c r="BL76" s="228"/>
      <c r="BM76" s="172"/>
      <c r="BN76" s="172"/>
      <c r="BO76" s="228"/>
      <c r="BP76" s="228"/>
      <c r="BQ76" s="29"/>
    </row>
    <row r="77" spans="1:69" ht="7.5" customHeight="1">
      <c r="A77" s="19"/>
      <c r="B77" s="172" t="s">
        <v>281</v>
      </c>
      <c r="C77" s="172"/>
      <c r="D77" s="172" t="s">
        <v>282</v>
      </c>
      <c r="E77" s="228">
        <f>IF(INDEX(Таблицы!AE20:AE242,Таблицы!Y25,1)="","",INDEX(Таблицы!AE20:AE242,Таблицы!Y25,1))</f>
      </c>
      <c r="F77" s="228"/>
      <c r="G77" s="172" t="s">
        <v>283</v>
      </c>
      <c r="H77" s="228">
        <f>IF(INDEX(Таблицы!AF20:AF242,Таблицы!Y25,1)="","",INDEX(Таблицы!AF20:AF242,Таблицы!Y25,1))</f>
      </c>
      <c r="I77" s="228"/>
      <c r="J77" s="172" t="s">
        <v>284</v>
      </c>
      <c r="K77" s="228">
        <f>IF(INDEX(Таблицы!AG20:AG242,Таблицы!Y25,1)="","",INDEX(Таблицы!AG20:AG242,Таблицы!Y25,1))</f>
      </c>
      <c r="L77" s="228"/>
      <c r="M77" s="172" t="s">
        <v>99</v>
      </c>
      <c r="N77" s="172"/>
      <c r="O77" s="172"/>
      <c r="P77" s="172"/>
      <c r="Q77" s="172"/>
      <c r="R77" s="172"/>
      <c r="S77" s="172"/>
      <c r="T77" s="228">
        <f>IF(INDEX(Таблицы!AH20:AH242,Таблицы!Y25,1)="","",INDEX(Таблицы!AH20:AH242,Таблицы!Y25,1))</f>
      </c>
      <c r="U77" s="228"/>
      <c r="V77" s="360"/>
      <c r="W77" s="361"/>
      <c r="X77" s="224"/>
      <c r="Y77" s="224"/>
      <c r="Z77" s="224"/>
      <c r="AA77" s="224"/>
      <c r="AB77" s="55"/>
      <c r="AC77" s="50"/>
      <c r="AD77" s="172" t="s">
        <v>281</v>
      </c>
      <c r="AE77" s="172"/>
      <c r="AF77" s="172" t="s">
        <v>282</v>
      </c>
      <c r="AG77" s="228">
        <f>IF(INDEX(Таблицы!AE20:AE242,Таблицы!Y26,1)="","",INDEX(Таблицы!AE20:AE242,Таблицы!Y26,1))</f>
      </c>
      <c r="AH77" s="228"/>
      <c r="AI77" s="172" t="s">
        <v>283</v>
      </c>
      <c r="AJ77" s="228">
        <f>IF(INDEX(Таблицы!AF20:AF242,Таблицы!Y26,1)="","",INDEX(Таблицы!AF20:AF242,Таблицы!Y26,1))</f>
      </c>
      <c r="AK77" s="228"/>
      <c r="AL77" s="172" t="s">
        <v>284</v>
      </c>
      <c r="AM77" s="228">
        <f>IF(INDEX(Таблицы!AG20:AG242,Таблицы!Y26,1)="","",INDEX(Таблицы!AG20:AG242,Таблицы!Y26,1))</f>
      </c>
      <c r="AN77" s="228"/>
      <c r="AO77" s="172" t="s">
        <v>99</v>
      </c>
      <c r="AP77" s="172"/>
      <c r="AQ77" s="172"/>
      <c r="AR77" s="172"/>
      <c r="AS77" s="172"/>
      <c r="AT77" s="172"/>
      <c r="AU77" s="172"/>
      <c r="AV77" s="228">
        <f>IF(INDEX(Таблицы!AH20:AH242,Таблицы!Y26,1)="","",INDEX(Таблицы!AH20:AH242,Таблицы!Y26,1))</f>
      </c>
      <c r="AW77" s="228"/>
      <c r="AX77" s="360"/>
      <c r="AY77" s="361"/>
      <c r="AZ77" s="224"/>
      <c r="BA77" s="224"/>
      <c r="BB77" s="224"/>
      <c r="BC77" s="224"/>
      <c r="BD77" s="13"/>
      <c r="BE77" s="172" t="s">
        <v>314</v>
      </c>
      <c r="BF77" s="172"/>
      <c r="BG77" s="354">
        <f>IF(INDEX(Таблицы!AG483:AG515,Таблицы!Y484,1)="","",INDEX(Таблицы!AG483:AG515,Таблицы!Y484,1))</f>
      </c>
      <c r="BH77" s="355"/>
      <c r="BI77" s="355"/>
      <c r="BJ77" s="356"/>
      <c r="BK77" s="327" t="s">
        <v>323</v>
      </c>
      <c r="BL77" s="328"/>
      <c r="BM77" s="342"/>
      <c r="BN77" s="343"/>
      <c r="BO77" s="338">
        <f>IF(INDEX(Таблицы!AS483:AS515,Таблицы!Y484,1)="","",INDEX(Таблицы!AS483:AS515,Таблицы!Y484,1))</f>
      </c>
      <c r="BP77" s="339"/>
      <c r="BQ77" s="29"/>
    </row>
    <row r="78" spans="1:69" ht="7.5" customHeight="1">
      <c r="A78" s="19"/>
      <c r="B78" s="172"/>
      <c r="C78" s="172"/>
      <c r="D78" s="172"/>
      <c r="E78" s="228"/>
      <c r="F78" s="228"/>
      <c r="G78" s="172"/>
      <c r="H78" s="228"/>
      <c r="I78" s="228"/>
      <c r="J78" s="172"/>
      <c r="K78" s="228"/>
      <c r="L78" s="228"/>
      <c r="M78" s="172"/>
      <c r="N78" s="172"/>
      <c r="O78" s="172"/>
      <c r="P78" s="172"/>
      <c r="Q78" s="172"/>
      <c r="R78" s="172"/>
      <c r="S78" s="172"/>
      <c r="T78" s="228"/>
      <c r="U78" s="228"/>
      <c r="V78" s="360"/>
      <c r="W78" s="361"/>
      <c r="X78" s="224">
        <v>3</v>
      </c>
      <c r="Y78" s="224"/>
      <c r="Z78" s="224">
        <v>4</v>
      </c>
      <c r="AA78" s="224"/>
      <c r="AB78" s="55"/>
      <c r="AC78" s="50"/>
      <c r="AD78" s="172"/>
      <c r="AE78" s="172"/>
      <c r="AF78" s="172"/>
      <c r="AG78" s="228"/>
      <c r="AH78" s="228"/>
      <c r="AI78" s="172"/>
      <c r="AJ78" s="228"/>
      <c r="AK78" s="228"/>
      <c r="AL78" s="172"/>
      <c r="AM78" s="228"/>
      <c r="AN78" s="228"/>
      <c r="AO78" s="172"/>
      <c r="AP78" s="172"/>
      <c r="AQ78" s="172"/>
      <c r="AR78" s="172"/>
      <c r="AS78" s="172"/>
      <c r="AT78" s="172"/>
      <c r="AU78" s="172"/>
      <c r="AV78" s="228"/>
      <c r="AW78" s="228"/>
      <c r="AX78" s="360"/>
      <c r="AY78" s="361"/>
      <c r="AZ78" s="224">
        <v>3</v>
      </c>
      <c r="BA78" s="224"/>
      <c r="BB78" s="224">
        <v>4</v>
      </c>
      <c r="BC78" s="224"/>
      <c r="BD78" s="13"/>
      <c r="BE78" s="172"/>
      <c r="BF78" s="172"/>
      <c r="BG78" s="357"/>
      <c r="BH78" s="358"/>
      <c r="BI78" s="358"/>
      <c r="BJ78" s="359"/>
      <c r="BK78" s="329"/>
      <c r="BL78" s="330"/>
      <c r="BM78" s="344"/>
      <c r="BN78" s="345"/>
      <c r="BO78" s="340"/>
      <c r="BP78" s="341"/>
      <c r="BQ78" s="29"/>
    </row>
    <row r="79" spans="1:69" ht="7.5" customHeight="1">
      <c r="A79" s="19"/>
      <c r="B79" s="241" t="s">
        <v>930</v>
      </c>
      <c r="C79" s="242"/>
      <c r="D79" s="243"/>
      <c r="E79" s="242"/>
      <c r="F79" s="242"/>
      <c r="G79" s="242"/>
      <c r="H79" s="242"/>
      <c r="I79" s="242"/>
      <c r="J79" s="242"/>
      <c r="K79" s="242"/>
      <c r="L79" s="242"/>
      <c r="M79" s="243"/>
      <c r="N79" s="250" t="s">
        <v>298</v>
      </c>
      <c r="O79" s="251"/>
      <c r="P79" s="225">
        <f>IF(INDEX(Таблицы!AB245:AB323,Таблицы!Y249,1)="","",INDEX(Таблицы!AB245:AB323,Таблицы!Y249,1))</f>
      </c>
      <c r="Q79" s="225"/>
      <c r="R79" s="250" t="s">
        <v>831</v>
      </c>
      <c r="S79" s="251"/>
      <c r="T79" s="225">
        <f>IF(INDEX(Таблицы!AC245:AC323,Таблицы!Y249,1)="","",INDEX(Таблицы!AC245:AC323,Таблицы!Y249,1))</f>
      </c>
      <c r="U79" s="225"/>
      <c r="V79" s="360"/>
      <c r="W79" s="361"/>
      <c r="X79" s="224"/>
      <c r="Y79" s="224"/>
      <c r="Z79" s="224"/>
      <c r="AA79" s="224"/>
      <c r="AB79" s="55"/>
      <c r="AC79" s="50"/>
      <c r="AD79" s="241" t="s">
        <v>930</v>
      </c>
      <c r="AE79" s="242"/>
      <c r="AF79" s="243"/>
      <c r="AG79" s="242"/>
      <c r="AH79" s="242"/>
      <c r="AI79" s="242"/>
      <c r="AJ79" s="242"/>
      <c r="AK79" s="242"/>
      <c r="AL79" s="242"/>
      <c r="AM79" s="242"/>
      <c r="AN79" s="242"/>
      <c r="AO79" s="243"/>
      <c r="AP79" s="250" t="s">
        <v>298</v>
      </c>
      <c r="AQ79" s="251"/>
      <c r="AR79" s="225">
        <f>IF(INDEX(Таблицы!AB245:AB323,Таблицы!Y250,1)="","",INDEX(Таблицы!AB245:AB323,Таблицы!Y250,1))</f>
      </c>
      <c r="AS79" s="225"/>
      <c r="AT79" s="250" t="s">
        <v>831</v>
      </c>
      <c r="AU79" s="251"/>
      <c r="AV79" s="225">
        <f>IF(INDEX(Таблицы!AC245:AC323,Таблицы!Y250,1)="","",INDEX(Таблицы!AC245:AC323,Таблицы!Y250,1))</f>
      </c>
      <c r="AW79" s="225"/>
      <c r="AX79" s="360"/>
      <c r="AY79" s="361"/>
      <c r="AZ79" s="224"/>
      <c r="BA79" s="224"/>
      <c r="BB79" s="224"/>
      <c r="BC79" s="224"/>
      <c r="BD79" s="13"/>
      <c r="BE79" s="297" t="s">
        <v>223</v>
      </c>
      <c r="BF79" s="297"/>
      <c r="BG79" s="297"/>
      <c r="BH79" s="172" t="s">
        <v>282</v>
      </c>
      <c r="BI79" s="228">
        <f>IF(INDEX(Таблицы!AN483:AN515,Таблицы!Y484,1)="","",INDEX(Таблицы!AN483:AN515,Таблицы!Y484,1))</f>
      </c>
      <c r="BJ79" s="228"/>
      <c r="BK79" s="172" t="s">
        <v>322</v>
      </c>
      <c r="BL79" s="228">
        <f>IF(INDEX(Таблицы!AO483:AO515,Таблицы!Y484,1)="","",INDEX(Таблицы!AO483:AO515,Таблицы!Y484,1))</f>
      </c>
      <c r="BM79" s="228"/>
      <c r="BN79" s="172" t="s">
        <v>284</v>
      </c>
      <c r="BO79" s="228">
        <f>IF(INDEX(Таблицы!AP483:AP515,Таблицы!Y484,1)="","",INDEX(Таблицы!AP483:AP515,Таблицы!Y484,1))</f>
      </c>
      <c r="BP79" s="228"/>
      <c r="BQ79" s="29"/>
    </row>
    <row r="80" spans="1:69" ht="7.5" customHeight="1">
      <c r="A80" s="19"/>
      <c r="B80" s="244"/>
      <c r="C80" s="245"/>
      <c r="D80" s="246"/>
      <c r="E80" s="245"/>
      <c r="F80" s="245"/>
      <c r="G80" s="245"/>
      <c r="H80" s="245"/>
      <c r="I80" s="245"/>
      <c r="J80" s="245"/>
      <c r="K80" s="245"/>
      <c r="L80" s="245"/>
      <c r="M80" s="246"/>
      <c r="N80" s="214"/>
      <c r="O80" s="252"/>
      <c r="P80" s="226"/>
      <c r="Q80" s="226"/>
      <c r="R80" s="214"/>
      <c r="S80" s="252"/>
      <c r="T80" s="226"/>
      <c r="U80" s="226"/>
      <c r="V80" s="360"/>
      <c r="W80" s="361"/>
      <c r="X80" s="224">
        <v>5</v>
      </c>
      <c r="Y80" s="224"/>
      <c r="Z80" s="224">
        <v>6</v>
      </c>
      <c r="AA80" s="224"/>
      <c r="AB80" s="55"/>
      <c r="AC80" s="50"/>
      <c r="AD80" s="244"/>
      <c r="AE80" s="245"/>
      <c r="AF80" s="246"/>
      <c r="AG80" s="245"/>
      <c r="AH80" s="245"/>
      <c r="AI80" s="245"/>
      <c r="AJ80" s="245"/>
      <c r="AK80" s="245"/>
      <c r="AL80" s="245"/>
      <c r="AM80" s="245"/>
      <c r="AN80" s="245"/>
      <c r="AO80" s="246"/>
      <c r="AP80" s="214"/>
      <c r="AQ80" s="252"/>
      <c r="AR80" s="226"/>
      <c r="AS80" s="226"/>
      <c r="AT80" s="214"/>
      <c r="AU80" s="252"/>
      <c r="AV80" s="226"/>
      <c r="AW80" s="226"/>
      <c r="AX80" s="360"/>
      <c r="AY80" s="361"/>
      <c r="AZ80" s="224">
        <v>5</v>
      </c>
      <c r="BA80" s="224"/>
      <c r="BB80" s="224">
        <v>6</v>
      </c>
      <c r="BC80" s="224"/>
      <c r="BD80" s="13"/>
      <c r="BE80" s="297"/>
      <c r="BF80" s="297"/>
      <c r="BG80" s="297"/>
      <c r="BH80" s="172"/>
      <c r="BI80" s="228"/>
      <c r="BJ80" s="228"/>
      <c r="BK80" s="172"/>
      <c r="BL80" s="228"/>
      <c r="BM80" s="228"/>
      <c r="BN80" s="172"/>
      <c r="BO80" s="228"/>
      <c r="BP80" s="228"/>
      <c r="BQ80" s="29"/>
    </row>
    <row r="81" spans="1:69" ht="7.5" customHeight="1">
      <c r="A81" s="19"/>
      <c r="B81" s="247"/>
      <c r="C81" s="248"/>
      <c r="D81" s="249"/>
      <c r="E81" s="248"/>
      <c r="F81" s="248"/>
      <c r="G81" s="248"/>
      <c r="H81" s="248"/>
      <c r="I81" s="248"/>
      <c r="J81" s="248"/>
      <c r="K81" s="248"/>
      <c r="L81" s="248"/>
      <c r="M81" s="249"/>
      <c r="N81" s="216"/>
      <c r="O81" s="253"/>
      <c r="P81" s="226"/>
      <c r="Q81" s="226"/>
      <c r="R81" s="216"/>
      <c r="S81" s="253"/>
      <c r="T81" s="226"/>
      <c r="U81" s="226"/>
      <c r="V81" s="360"/>
      <c r="W81" s="361"/>
      <c r="X81" s="224"/>
      <c r="Y81" s="224"/>
      <c r="Z81" s="224"/>
      <c r="AA81" s="224"/>
      <c r="AB81" s="55"/>
      <c r="AC81" s="50"/>
      <c r="AD81" s="247"/>
      <c r="AE81" s="248"/>
      <c r="AF81" s="249"/>
      <c r="AG81" s="248"/>
      <c r="AH81" s="248"/>
      <c r="AI81" s="248"/>
      <c r="AJ81" s="248"/>
      <c r="AK81" s="248"/>
      <c r="AL81" s="248"/>
      <c r="AM81" s="248"/>
      <c r="AN81" s="248"/>
      <c r="AO81" s="249"/>
      <c r="AP81" s="216"/>
      <c r="AQ81" s="253"/>
      <c r="AR81" s="226"/>
      <c r="AS81" s="226"/>
      <c r="AT81" s="216"/>
      <c r="AU81" s="253"/>
      <c r="AV81" s="226"/>
      <c r="AW81" s="226"/>
      <c r="AX81" s="360"/>
      <c r="AY81" s="361"/>
      <c r="AZ81" s="224"/>
      <c r="BA81" s="224"/>
      <c r="BB81" s="224"/>
      <c r="BC81" s="224"/>
      <c r="BD81" s="13"/>
      <c r="BE81" s="297"/>
      <c r="BF81" s="297"/>
      <c r="BG81" s="297"/>
      <c r="BH81" s="172" t="s">
        <v>283</v>
      </c>
      <c r="BI81" s="228">
        <f>IF(INDEX(Таблицы!AQ483:AQ515,Таблицы!Y484,1)="","",INDEX(Таблицы!AQ483:AQ515,Таблицы!Y484,1))</f>
      </c>
      <c r="BJ81" s="228"/>
      <c r="BK81" s="172" t="s">
        <v>278</v>
      </c>
      <c r="BL81" s="255">
        <f>IF(INDEX(Таблицы!AR483:AR515,Таблицы!Y484,1)="","",INDEX(Таблицы!AR483:AR515,Таблицы!Y484,1))</f>
      </c>
      <c r="BM81" s="256"/>
      <c r="BN81" s="256"/>
      <c r="BO81" s="256"/>
      <c r="BP81" s="257"/>
      <c r="BQ81" s="29"/>
    </row>
    <row r="82" spans="1:69" ht="7.5" customHeight="1">
      <c r="A82" s="19"/>
      <c r="B82" s="172" t="s">
        <v>279</v>
      </c>
      <c r="C82" s="172"/>
      <c r="D82" s="229">
        <f>IF(INDEX(Таблицы!AE245:AE323,Таблицы!Y249,1)="","",INDEX(Таблицы!AE245:AE323,Таблицы!Y249,1))</f>
      </c>
      <c r="E82" s="230"/>
      <c r="F82" s="230"/>
      <c r="G82" s="230"/>
      <c r="H82" s="231"/>
      <c r="I82" s="235" t="s">
        <v>832</v>
      </c>
      <c r="J82" s="236"/>
      <c r="K82" s="237"/>
      <c r="L82" s="229">
        <f>IF(INDEX(Таблицы!AF245:AF323,Таблицы!Y249,1)="","",INDEX(Таблицы!AF245:AF323,Таблицы!Y249,1))</f>
      </c>
      <c r="M82" s="230"/>
      <c r="N82" s="230"/>
      <c r="O82" s="230"/>
      <c r="P82" s="230"/>
      <c r="Q82" s="230"/>
      <c r="R82" s="230"/>
      <c r="S82" s="230"/>
      <c r="T82" s="230"/>
      <c r="U82" s="231"/>
      <c r="V82" s="360"/>
      <c r="W82" s="361"/>
      <c r="X82" s="224">
        <v>7</v>
      </c>
      <c r="Y82" s="224"/>
      <c r="Z82" s="224">
        <v>8</v>
      </c>
      <c r="AA82" s="224"/>
      <c r="AB82" s="55"/>
      <c r="AC82" s="50"/>
      <c r="AD82" s="172" t="s">
        <v>279</v>
      </c>
      <c r="AE82" s="172"/>
      <c r="AF82" s="229">
        <f>IF(INDEX(Таблицы!AE245:AE323,Таблицы!Y250,1)="","",INDEX(Таблицы!AE245:AE323,Таблицы!Y250,1))</f>
      </c>
      <c r="AG82" s="230"/>
      <c r="AH82" s="230"/>
      <c r="AI82" s="230"/>
      <c r="AJ82" s="231"/>
      <c r="AK82" s="235" t="s">
        <v>832</v>
      </c>
      <c r="AL82" s="236"/>
      <c r="AM82" s="237"/>
      <c r="AN82" s="229">
        <f>IF(INDEX(Таблицы!AF245:AF323,Таблицы!Y250,1)="","",INDEX(Таблицы!AF245:AF323,Таблицы!Y250,1))</f>
      </c>
      <c r="AO82" s="230"/>
      <c r="AP82" s="230"/>
      <c r="AQ82" s="230"/>
      <c r="AR82" s="230"/>
      <c r="AS82" s="230"/>
      <c r="AT82" s="230"/>
      <c r="AU82" s="230"/>
      <c r="AV82" s="230"/>
      <c r="AW82" s="231"/>
      <c r="AX82" s="360"/>
      <c r="AY82" s="361"/>
      <c r="AZ82" s="224">
        <v>7</v>
      </c>
      <c r="BA82" s="224"/>
      <c r="BB82" s="224">
        <v>8</v>
      </c>
      <c r="BC82" s="224"/>
      <c r="BD82" s="13"/>
      <c r="BE82" s="297"/>
      <c r="BF82" s="297"/>
      <c r="BG82" s="297"/>
      <c r="BH82" s="172"/>
      <c r="BI82" s="228"/>
      <c r="BJ82" s="228"/>
      <c r="BK82" s="172"/>
      <c r="BL82" s="258"/>
      <c r="BM82" s="259"/>
      <c r="BN82" s="259"/>
      <c r="BO82" s="259"/>
      <c r="BP82" s="260"/>
      <c r="BQ82" s="29"/>
    </row>
    <row r="83" spans="1:69" ht="7.5" customHeight="1">
      <c r="A83" s="19"/>
      <c r="B83" s="172"/>
      <c r="C83" s="172"/>
      <c r="D83" s="232"/>
      <c r="E83" s="233"/>
      <c r="F83" s="233"/>
      <c r="G83" s="233"/>
      <c r="H83" s="234"/>
      <c r="I83" s="238"/>
      <c r="J83" s="239"/>
      <c r="K83" s="240"/>
      <c r="L83" s="232"/>
      <c r="M83" s="233"/>
      <c r="N83" s="233"/>
      <c r="O83" s="233"/>
      <c r="P83" s="233"/>
      <c r="Q83" s="233"/>
      <c r="R83" s="233"/>
      <c r="S83" s="233"/>
      <c r="T83" s="233"/>
      <c r="U83" s="234"/>
      <c r="V83" s="360"/>
      <c r="W83" s="361"/>
      <c r="X83" s="224"/>
      <c r="Y83" s="224"/>
      <c r="Z83" s="224"/>
      <c r="AA83" s="224"/>
      <c r="AB83" s="55"/>
      <c r="AC83" s="50"/>
      <c r="AD83" s="172"/>
      <c r="AE83" s="172"/>
      <c r="AF83" s="232"/>
      <c r="AG83" s="233"/>
      <c r="AH83" s="233"/>
      <c r="AI83" s="233"/>
      <c r="AJ83" s="234"/>
      <c r="AK83" s="238"/>
      <c r="AL83" s="239"/>
      <c r="AM83" s="240"/>
      <c r="AN83" s="232"/>
      <c r="AO83" s="233"/>
      <c r="AP83" s="233"/>
      <c r="AQ83" s="233"/>
      <c r="AR83" s="233"/>
      <c r="AS83" s="233"/>
      <c r="AT83" s="233"/>
      <c r="AU83" s="233"/>
      <c r="AV83" s="233"/>
      <c r="AW83" s="234"/>
      <c r="AX83" s="360"/>
      <c r="AY83" s="361"/>
      <c r="AZ83" s="224"/>
      <c r="BA83" s="224"/>
      <c r="BB83" s="224"/>
      <c r="BC83" s="224"/>
      <c r="BD83" s="13"/>
      <c r="BE83" s="297" t="s">
        <v>320</v>
      </c>
      <c r="BF83" s="297"/>
      <c r="BG83" s="297"/>
      <c r="BH83" s="172" t="s">
        <v>315</v>
      </c>
      <c r="BI83" s="228">
        <f>IF(INDEX(Таблицы!AH483:AH515,Таблицы!Y484,1)="","",INDEX(Таблицы!AH483:AH515,Таблицы!Y484,1))</f>
      </c>
      <c r="BJ83" s="228"/>
      <c r="BK83" s="172" t="s">
        <v>316</v>
      </c>
      <c r="BL83" s="228">
        <f>IF(INDEX(Таблицы!AI483:AI515,Таблицы!Y484,1)="","",INDEX(Таблицы!AI483:AI515,Таблицы!Y484,1))</f>
      </c>
      <c r="BM83" s="228"/>
      <c r="BN83" s="172" t="s">
        <v>317</v>
      </c>
      <c r="BO83" s="228">
        <f>IF(INDEX(Таблицы!AJ483:AJ515,Таблицы!Y484,1)="","",INDEX(Таблицы!AJ483:AJ515,Таблицы!Y484,1))</f>
      </c>
      <c r="BP83" s="228"/>
      <c r="BQ83" s="29"/>
    </row>
    <row r="84" spans="1:69" ht="7.5" customHeight="1">
      <c r="A84" s="19"/>
      <c r="B84" s="398" t="s">
        <v>288</v>
      </c>
      <c r="C84" s="398"/>
      <c r="D84" s="398"/>
      <c r="E84" s="398"/>
      <c r="F84" s="398"/>
      <c r="G84" s="398"/>
      <c r="H84" s="398"/>
      <c r="I84" s="398"/>
      <c r="J84" s="227"/>
      <c r="K84" s="227"/>
      <c r="L84" s="172" t="s">
        <v>286</v>
      </c>
      <c r="M84" s="172"/>
      <c r="N84" s="172"/>
      <c r="O84" s="228">
        <f>IF(INDEX(Таблицы!AI20:AI242,Таблицы!Y25,1)="","",INDEX(Таблицы!AI20:AI242,Таблицы!Y25,1))</f>
      </c>
      <c r="P84" s="228"/>
      <c r="Q84" s="172" t="s">
        <v>287</v>
      </c>
      <c r="R84" s="172"/>
      <c r="S84" s="172"/>
      <c r="T84" s="227"/>
      <c r="U84" s="227"/>
      <c r="V84" s="360"/>
      <c r="W84" s="361"/>
      <c r="X84" s="224">
        <v>9</v>
      </c>
      <c r="Y84" s="224"/>
      <c r="Z84" s="224">
        <v>10</v>
      </c>
      <c r="AA84" s="224"/>
      <c r="AB84" s="55"/>
      <c r="AC84" s="50"/>
      <c r="AD84" s="398" t="s">
        <v>288</v>
      </c>
      <c r="AE84" s="398"/>
      <c r="AF84" s="398"/>
      <c r="AG84" s="398"/>
      <c r="AH84" s="398"/>
      <c r="AI84" s="398"/>
      <c r="AJ84" s="398"/>
      <c r="AK84" s="398"/>
      <c r="AL84" s="227"/>
      <c r="AM84" s="227"/>
      <c r="AN84" s="172" t="s">
        <v>286</v>
      </c>
      <c r="AO84" s="172"/>
      <c r="AP84" s="172"/>
      <c r="AQ84" s="228">
        <f>IF(INDEX(Таблицы!AI20:AI242,Таблицы!Y26,1)="","",INDEX(Таблицы!AI20:AI242,Таблицы!Y26,1))</f>
      </c>
      <c r="AR84" s="228"/>
      <c r="AS84" s="172" t="s">
        <v>287</v>
      </c>
      <c r="AT84" s="172"/>
      <c r="AU84" s="172"/>
      <c r="AV84" s="227"/>
      <c r="AW84" s="227"/>
      <c r="AX84" s="360"/>
      <c r="AY84" s="361"/>
      <c r="AZ84" s="224">
        <v>9</v>
      </c>
      <c r="BA84" s="224"/>
      <c r="BB84" s="224">
        <v>10</v>
      </c>
      <c r="BC84" s="224"/>
      <c r="BD84" s="13"/>
      <c r="BE84" s="297"/>
      <c r="BF84" s="297"/>
      <c r="BG84" s="297"/>
      <c r="BH84" s="172"/>
      <c r="BI84" s="228"/>
      <c r="BJ84" s="228"/>
      <c r="BK84" s="172"/>
      <c r="BL84" s="228"/>
      <c r="BM84" s="228"/>
      <c r="BN84" s="172"/>
      <c r="BO84" s="228"/>
      <c r="BP84" s="228"/>
      <c r="BQ84" s="29"/>
    </row>
    <row r="85" spans="1:69" ht="7.5" customHeight="1">
      <c r="A85" s="19"/>
      <c r="B85" s="398"/>
      <c r="C85" s="398"/>
      <c r="D85" s="398"/>
      <c r="E85" s="398"/>
      <c r="F85" s="398"/>
      <c r="G85" s="398"/>
      <c r="H85" s="398"/>
      <c r="I85" s="398"/>
      <c r="J85" s="227"/>
      <c r="K85" s="227"/>
      <c r="L85" s="172"/>
      <c r="M85" s="172"/>
      <c r="N85" s="172"/>
      <c r="O85" s="228"/>
      <c r="P85" s="228"/>
      <c r="Q85" s="172"/>
      <c r="R85" s="172"/>
      <c r="S85" s="172"/>
      <c r="T85" s="227"/>
      <c r="U85" s="227"/>
      <c r="V85" s="362"/>
      <c r="W85" s="363"/>
      <c r="X85" s="224"/>
      <c r="Y85" s="224"/>
      <c r="Z85" s="224"/>
      <c r="AA85" s="224"/>
      <c r="AB85" s="55"/>
      <c r="AC85" s="50"/>
      <c r="AD85" s="398"/>
      <c r="AE85" s="398"/>
      <c r="AF85" s="398"/>
      <c r="AG85" s="398"/>
      <c r="AH85" s="398"/>
      <c r="AI85" s="398"/>
      <c r="AJ85" s="398"/>
      <c r="AK85" s="398"/>
      <c r="AL85" s="227"/>
      <c r="AM85" s="227"/>
      <c r="AN85" s="172"/>
      <c r="AO85" s="172"/>
      <c r="AP85" s="172"/>
      <c r="AQ85" s="228"/>
      <c r="AR85" s="228"/>
      <c r="AS85" s="172"/>
      <c r="AT85" s="172"/>
      <c r="AU85" s="172"/>
      <c r="AV85" s="227"/>
      <c r="AW85" s="227"/>
      <c r="AX85" s="362"/>
      <c r="AY85" s="363"/>
      <c r="AZ85" s="224"/>
      <c r="BA85" s="224"/>
      <c r="BB85" s="224"/>
      <c r="BC85" s="224"/>
      <c r="BD85" s="13"/>
      <c r="BE85" s="297"/>
      <c r="BF85" s="297"/>
      <c r="BG85" s="297"/>
      <c r="BH85" s="172" t="s">
        <v>318</v>
      </c>
      <c r="BI85" s="228">
        <f>IF(INDEX(Таблицы!AK483:AK515,Таблицы!Y484,1)="","",INDEX(Таблицы!AK483:AK515,Таблицы!Y484,1))</f>
      </c>
      <c r="BJ85" s="228"/>
      <c r="BK85" s="172" t="s">
        <v>319</v>
      </c>
      <c r="BL85" s="172"/>
      <c r="BM85" s="204">
        <f>IF(INDEX(Таблицы!AL483:AL515,Таблицы!Y484,1)="","",INDEX(Таблицы!AL483:AL515,Таблицы!Y484,1))</f>
      </c>
      <c r="BN85" s="206"/>
      <c r="BO85" s="204" t="s">
        <v>875</v>
      </c>
      <c r="BP85" s="206">
        <f>IF(INDEX(Таблицы!AM483:AM515,Таблицы!Y484,1)="","",INDEX(Таблицы!AM483:AM515,Таблицы!Y484,1))</f>
      </c>
      <c r="BQ85" s="29"/>
    </row>
    <row r="86" spans="1:69" ht="7.5" customHeight="1">
      <c r="A86" s="65"/>
      <c r="B86" s="71"/>
      <c r="C86" s="71"/>
      <c r="D86" s="71"/>
      <c r="E86" s="71"/>
      <c r="F86" s="71"/>
      <c r="G86" s="71"/>
      <c r="H86" s="71"/>
      <c r="I86" s="71"/>
      <c r="J86" s="63"/>
      <c r="K86" s="63"/>
      <c r="L86" s="64"/>
      <c r="M86" s="64"/>
      <c r="N86" s="64"/>
      <c r="O86" s="63"/>
      <c r="P86" s="63"/>
      <c r="Q86" s="64"/>
      <c r="R86" s="64"/>
      <c r="S86" s="64"/>
      <c r="T86" s="63"/>
      <c r="U86" s="63"/>
      <c r="V86" s="46"/>
      <c r="W86" s="46"/>
      <c r="X86" s="71"/>
      <c r="Y86" s="71"/>
      <c r="Z86" s="71"/>
      <c r="AA86" s="71"/>
      <c r="AB86" s="73"/>
      <c r="AC86" s="75"/>
      <c r="AD86" s="71"/>
      <c r="AE86" s="71"/>
      <c r="AF86" s="63"/>
      <c r="AG86" s="63"/>
      <c r="AH86" s="64"/>
      <c r="AI86" s="64"/>
      <c r="AJ86" s="64"/>
      <c r="AK86" s="63"/>
      <c r="AL86" s="63"/>
      <c r="AM86" s="64"/>
      <c r="AN86" s="64"/>
      <c r="AO86" s="64"/>
      <c r="AP86" s="63"/>
      <c r="AQ86" s="63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297"/>
      <c r="BF86" s="297"/>
      <c r="BG86" s="297"/>
      <c r="BH86" s="172"/>
      <c r="BI86" s="228"/>
      <c r="BJ86" s="228"/>
      <c r="BK86" s="172"/>
      <c r="BL86" s="172"/>
      <c r="BM86" s="205"/>
      <c r="BN86" s="207"/>
      <c r="BO86" s="205"/>
      <c r="BP86" s="207"/>
      <c r="BQ86" s="29"/>
    </row>
    <row r="87" spans="1:69" ht="7.5" customHeight="1" thickBot="1">
      <c r="A87" s="19"/>
      <c r="B87" s="52"/>
      <c r="C87" s="52"/>
      <c r="D87" s="52"/>
      <c r="E87" s="52"/>
      <c r="F87" s="52"/>
      <c r="G87" s="52"/>
      <c r="H87" s="52"/>
      <c r="I87" s="52"/>
      <c r="J87" s="4"/>
      <c r="K87" s="4"/>
      <c r="L87" s="48"/>
      <c r="M87" s="48"/>
      <c r="N87" s="48"/>
      <c r="O87" s="4"/>
      <c r="P87" s="4"/>
      <c r="Q87" s="48"/>
      <c r="R87" s="48"/>
      <c r="S87" s="48"/>
      <c r="T87" s="4"/>
      <c r="U87" s="4"/>
      <c r="V87" s="13"/>
      <c r="W87" s="13"/>
      <c r="X87" s="52"/>
      <c r="Y87" s="52"/>
      <c r="Z87" s="52"/>
      <c r="AA87" s="52"/>
      <c r="AB87" s="52"/>
      <c r="AC87" s="52"/>
      <c r="AD87" s="52"/>
      <c r="AE87" s="52"/>
      <c r="AF87" s="4"/>
      <c r="AG87" s="4"/>
      <c r="AH87" s="48"/>
      <c r="AI87" s="48"/>
      <c r="AJ87" s="48"/>
      <c r="AK87" s="4"/>
      <c r="AL87" s="4"/>
      <c r="AM87" s="48"/>
      <c r="AN87" s="48"/>
      <c r="AO87" s="48"/>
      <c r="AP87" s="4"/>
      <c r="AQ87" s="4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297" t="s">
        <v>876</v>
      </c>
      <c r="BF87" s="297"/>
      <c r="BG87" s="297"/>
      <c r="BH87" s="172" t="s">
        <v>315</v>
      </c>
      <c r="BI87" s="227"/>
      <c r="BJ87" s="227"/>
      <c r="BK87" s="172" t="s">
        <v>316</v>
      </c>
      <c r="BL87" s="227"/>
      <c r="BM87" s="227"/>
      <c r="BN87" s="172" t="s">
        <v>317</v>
      </c>
      <c r="BO87" s="254"/>
      <c r="BP87" s="254"/>
      <c r="BQ87" s="29"/>
    </row>
    <row r="88" spans="1:69" ht="7.5" customHeight="1">
      <c r="A88" s="19"/>
      <c r="B88" s="370" t="s">
        <v>101</v>
      </c>
      <c r="C88" s="371"/>
      <c r="D88" s="371"/>
      <c r="E88" s="371"/>
      <c r="F88" s="371"/>
      <c r="G88" s="371"/>
      <c r="H88" s="371"/>
      <c r="I88" s="371"/>
      <c r="J88" s="371"/>
      <c r="K88" s="371"/>
      <c r="L88" s="371"/>
      <c r="M88" s="371"/>
      <c r="N88" s="371"/>
      <c r="O88" s="371"/>
      <c r="P88" s="371"/>
      <c r="Q88" s="371"/>
      <c r="R88" s="371"/>
      <c r="S88" s="371"/>
      <c r="T88" s="371"/>
      <c r="U88" s="371"/>
      <c r="V88" s="371"/>
      <c r="W88" s="371"/>
      <c r="X88" s="371"/>
      <c r="Y88" s="371"/>
      <c r="Z88" s="371"/>
      <c r="AA88" s="371"/>
      <c r="AB88" s="371"/>
      <c r="AC88" s="371"/>
      <c r="AD88" s="371"/>
      <c r="AE88" s="371"/>
      <c r="AF88" s="371"/>
      <c r="AG88" s="371"/>
      <c r="AH88" s="371"/>
      <c r="AI88" s="371"/>
      <c r="AJ88" s="371"/>
      <c r="AK88" s="371"/>
      <c r="AL88" s="371"/>
      <c r="AM88" s="371"/>
      <c r="AN88" s="371"/>
      <c r="AO88" s="371"/>
      <c r="AP88" s="371"/>
      <c r="AQ88" s="371"/>
      <c r="AR88" s="371"/>
      <c r="AS88" s="371"/>
      <c r="AT88" s="371"/>
      <c r="AU88" s="371"/>
      <c r="AV88" s="371"/>
      <c r="AW88" s="371"/>
      <c r="AX88" s="371"/>
      <c r="AY88" s="371"/>
      <c r="AZ88" s="371"/>
      <c r="BA88" s="371"/>
      <c r="BB88" s="371"/>
      <c r="BC88" s="372"/>
      <c r="BD88" s="13"/>
      <c r="BE88" s="297"/>
      <c r="BF88" s="297"/>
      <c r="BG88" s="297"/>
      <c r="BH88" s="172"/>
      <c r="BI88" s="227"/>
      <c r="BJ88" s="227"/>
      <c r="BK88" s="172"/>
      <c r="BL88" s="227"/>
      <c r="BM88" s="227"/>
      <c r="BN88" s="172"/>
      <c r="BO88" s="227"/>
      <c r="BP88" s="227"/>
      <c r="BQ88" s="29"/>
    </row>
    <row r="89" spans="1:69" ht="7.5" customHeight="1" thickBot="1">
      <c r="A89" s="19"/>
      <c r="B89" s="373"/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/>
      <c r="R89" s="374"/>
      <c r="S89" s="374"/>
      <c r="T89" s="374"/>
      <c r="U89" s="374"/>
      <c r="V89" s="374"/>
      <c r="W89" s="374"/>
      <c r="X89" s="374"/>
      <c r="Y89" s="374"/>
      <c r="Z89" s="374"/>
      <c r="AA89" s="374"/>
      <c r="AB89" s="374"/>
      <c r="AC89" s="374"/>
      <c r="AD89" s="374"/>
      <c r="AE89" s="374"/>
      <c r="AF89" s="374"/>
      <c r="AG89" s="374"/>
      <c r="AH89" s="374"/>
      <c r="AI89" s="374"/>
      <c r="AJ89" s="374"/>
      <c r="AK89" s="374"/>
      <c r="AL89" s="374"/>
      <c r="AM89" s="374"/>
      <c r="AN89" s="374"/>
      <c r="AO89" s="374"/>
      <c r="AP89" s="374"/>
      <c r="AQ89" s="374"/>
      <c r="AR89" s="374"/>
      <c r="AS89" s="374"/>
      <c r="AT89" s="374"/>
      <c r="AU89" s="374"/>
      <c r="AV89" s="374"/>
      <c r="AW89" s="374"/>
      <c r="AX89" s="374"/>
      <c r="AY89" s="374"/>
      <c r="AZ89" s="374"/>
      <c r="BA89" s="374"/>
      <c r="BB89" s="374"/>
      <c r="BC89" s="375"/>
      <c r="BD89" s="13"/>
      <c r="BE89" s="297"/>
      <c r="BF89" s="297"/>
      <c r="BG89" s="297"/>
      <c r="BH89" s="172" t="s">
        <v>318</v>
      </c>
      <c r="BI89" s="227"/>
      <c r="BJ89" s="227"/>
      <c r="BK89" s="172" t="s">
        <v>319</v>
      </c>
      <c r="BL89" s="172"/>
      <c r="BM89" s="208"/>
      <c r="BN89" s="209"/>
      <c r="BO89" s="204" t="s">
        <v>875</v>
      </c>
      <c r="BP89" s="209"/>
      <c r="BQ89" s="29"/>
    </row>
    <row r="90" spans="1:69" ht="7.5" customHeight="1">
      <c r="A90" s="19"/>
      <c r="B90" s="376" t="s">
        <v>269</v>
      </c>
      <c r="C90" s="376"/>
      <c r="D90" s="376"/>
      <c r="E90" s="376"/>
      <c r="F90" s="376"/>
      <c r="G90" s="376"/>
      <c r="H90" s="376"/>
      <c r="I90" s="376"/>
      <c r="J90" s="57"/>
      <c r="K90" s="376" t="s">
        <v>296</v>
      </c>
      <c r="L90" s="376"/>
      <c r="M90" s="376"/>
      <c r="N90" s="376"/>
      <c r="O90" s="376"/>
      <c r="P90" s="376"/>
      <c r="Q90" s="282" t="s">
        <v>291</v>
      </c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  <c r="AC90" s="282"/>
      <c r="AD90" s="282"/>
      <c r="AE90" s="282"/>
      <c r="AF90" s="282"/>
      <c r="AG90" s="282"/>
      <c r="AH90" s="282"/>
      <c r="AI90" s="282"/>
      <c r="AJ90" s="282"/>
      <c r="AK90" s="283"/>
      <c r="AL90" s="13"/>
      <c r="AM90" s="376" t="s">
        <v>297</v>
      </c>
      <c r="AN90" s="376"/>
      <c r="AO90" s="376"/>
      <c r="AP90" s="396"/>
      <c r="AQ90" s="282"/>
      <c r="AR90" s="282"/>
      <c r="AS90" s="282"/>
      <c r="AT90" s="282"/>
      <c r="AU90" s="282"/>
      <c r="AV90" s="282"/>
      <c r="AW90" s="282"/>
      <c r="AX90" s="282"/>
      <c r="AY90" s="282"/>
      <c r="AZ90" s="282"/>
      <c r="BA90" s="282"/>
      <c r="BB90" s="282"/>
      <c r="BC90" s="283"/>
      <c r="BD90" s="13"/>
      <c r="BE90" s="297"/>
      <c r="BF90" s="297"/>
      <c r="BG90" s="297"/>
      <c r="BH90" s="172"/>
      <c r="BI90" s="227"/>
      <c r="BJ90" s="227"/>
      <c r="BK90" s="172"/>
      <c r="BL90" s="172"/>
      <c r="BM90" s="210"/>
      <c r="BN90" s="211"/>
      <c r="BO90" s="205"/>
      <c r="BP90" s="211"/>
      <c r="BQ90" s="29"/>
    </row>
    <row r="91" spans="1:69" ht="7.5" customHeight="1">
      <c r="A91" s="19"/>
      <c r="B91" s="377"/>
      <c r="C91" s="377"/>
      <c r="D91" s="377"/>
      <c r="E91" s="377"/>
      <c r="F91" s="377"/>
      <c r="G91" s="377"/>
      <c r="H91" s="377"/>
      <c r="I91" s="377"/>
      <c r="J91" s="57"/>
      <c r="K91" s="377"/>
      <c r="L91" s="377"/>
      <c r="M91" s="377"/>
      <c r="N91" s="377"/>
      <c r="O91" s="377"/>
      <c r="P91" s="377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83"/>
      <c r="AL91" s="51"/>
      <c r="AM91" s="377"/>
      <c r="AN91" s="377"/>
      <c r="AO91" s="377"/>
      <c r="AP91" s="396"/>
      <c r="AQ91" s="282"/>
      <c r="AR91" s="282"/>
      <c r="AS91" s="282"/>
      <c r="AT91" s="282"/>
      <c r="AU91" s="282"/>
      <c r="AV91" s="282"/>
      <c r="AW91" s="282"/>
      <c r="AX91" s="282"/>
      <c r="AY91" s="282"/>
      <c r="AZ91" s="282"/>
      <c r="BA91" s="282"/>
      <c r="BB91" s="282"/>
      <c r="BC91" s="283"/>
      <c r="BD91" s="13"/>
      <c r="BE91" s="297" t="s">
        <v>321</v>
      </c>
      <c r="BF91" s="297"/>
      <c r="BG91" s="297"/>
      <c r="BH91" s="172" t="s">
        <v>315</v>
      </c>
      <c r="BI91" s="228">
        <f>IF(BI83="","",BI83+BI87)</f>
      </c>
      <c r="BJ91" s="228"/>
      <c r="BK91" s="172" t="s">
        <v>316</v>
      </c>
      <c r="BL91" s="228">
        <f>IF(BL83="","",BL83+BL87)</f>
      </c>
      <c r="BM91" s="228"/>
      <c r="BN91" s="172" t="s">
        <v>317</v>
      </c>
      <c r="BO91" s="228">
        <f>IF(BO83="","",BO83-BO87)</f>
      </c>
      <c r="BP91" s="228"/>
      <c r="BQ91" s="29"/>
    </row>
    <row r="92" spans="1:69" ht="7.5" customHeight="1">
      <c r="A92" s="19"/>
      <c r="B92" s="377"/>
      <c r="C92" s="377"/>
      <c r="D92" s="377"/>
      <c r="E92" s="377"/>
      <c r="F92" s="377"/>
      <c r="G92" s="377"/>
      <c r="H92" s="377"/>
      <c r="I92" s="377"/>
      <c r="J92" s="57"/>
      <c r="K92" s="377"/>
      <c r="L92" s="377"/>
      <c r="M92" s="377"/>
      <c r="N92" s="377"/>
      <c r="O92" s="377"/>
      <c r="P92" s="377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5"/>
      <c r="AL92" s="51"/>
      <c r="AM92" s="377"/>
      <c r="AN92" s="377"/>
      <c r="AO92" s="377"/>
      <c r="AP92" s="397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5"/>
      <c r="BD92" s="13"/>
      <c r="BE92" s="297"/>
      <c r="BF92" s="297"/>
      <c r="BG92" s="297"/>
      <c r="BH92" s="172"/>
      <c r="BI92" s="228"/>
      <c r="BJ92" s="228"/>
      <c r="BK92" s="172"/>
      <c r="BL92" s="228"/>
      <c r="BM92" s="228"/>
      <c r="BN92" s="172"/>
      <c r="BO92" s="228"/>
      <c r="BP92" s="228"/>
      <c r="BQ92" s="29"/>
    </row>
    <row r="93" spans="1:69" ht="7.5" customHeight="1">
      <c r="A93" s="19"/>
      <c r="B93" s="172" t="s">
        <v>293</v>
      </c>
      <c r="C93" s="172"/>
      <c r="D93" s="172"/>
      <c r="E93" s="172"/>
      <c r="F93" s="172"/>
      <c r="G93" s="172"/>
      <c r="H93" s="172"/>
      <c r="I93" s="172"/>
      <c r="J93" s="49"/>
      <c r="K93" s="172" t="s">
        <v>298</v>
      </c>
      <c r="L93" s="172"/>
      <c r="M93" s="172"/>
      <c r="N93" s="228">
        <f>IF(INDEX(Таблицы!AC332:AC375,Таблицы!Y334,1)="","",INDEX(Таблицы!AC332:AC375,Таблицы!Y334,1))</f>
      </c>
      <c r="O93" s="228"/>
      <c r="P93" s="228"/>
      <c r="Q93" s="384" t="s">
        <v>103</v>
      </c>
      <c r="R93" s="384"/>
      <c r="S93" s="384"/>
      <c r="T93" s="384"/>
      <c r="U93" s="385"/>
      <c r="V93" s="383" t="s">
        <v>294</v>
      </c>
      <c r="W93" s="384"/>
      <c r="X93" s="384"/>
      <c r="Y93" s="384"/>
      <c r="Z93" s="385"/>
      <c r="AA93" s="327" t="s">
        <v>299</v>
      </c>
      <c r="AB93" s="328"/>
      <c r="AC93" s="328"/>
      <c r="AD93" s="328"/>
      <c r="AE93" s="346"/>
      <c r="AF93" s="44"/>
      <c r="AG93" s="54"/>
      <c r="AH93" s="44"/>
      <c r="AI93" s="44"/>
      <c r="AJ93" s="44"/>
      <c r="AK93" s="45"/>
      <c r="AL93" s="13"/>
      <c r="AM93" s="327" t="s">
        <v>298</v>
      </c>
      <c r="AN93" s="328"/>
      <c r="AO93" s="346"/>
      <c r="AP93" s="354">
        <f>IF(INDEX(Таблицы!AC378:AC396,Таблицы!Y380,1)="","",INDEX(Таблицы!AC378:AC396,Таблицы!Y380,1))</f>
      </c>
      <c r="AQ93" s="355"/>
      <c r="AR93" s="356"/>
      <c r="AS93" s="383" t="s">
        <v>103</v>
      </c>
      <c r="AT93" s="384"/>
      <c r="AU93" s="384"/>
      <c r="AV93" s="384"/>
      <c r="AW93" s="385"/>
      <c r="AX93" s="44"/>
      <c r="AY93" s="54"/>
      <c r="AZ93" s="44"/>
      <c r="BA93" s="44"/>
      <c r="BB93" s="44"/>
      <c r="BC93" s="45"/>
      <c r="BD93" s="13"/>
      <c r="BE93" s="297"/>
      <c r="BF93" s="297"/>
      <c r="BG93" s="297"/>
      <c r="BH93" s="172" t="s">
        <v>318</v>
      </c>
      <c r="BI93" s="228">
        <f>IF(BI85="","",BI85+BI89)</f>
      </c>
      <c r="BJ93" s="228"/>
      <c r="BK93" s="172" t="s">
        <v>319</v>
      </c>
      <c r="BL93" s="172"/>
      <c r="BM93" s="204">
        <f>IF(BM85="","",BM85+BM89)</f>
      </c>
      <c r="BN93" s="206"/>
      <c r="BO93" s="204" t="s">
        <v>875</v>
      </c>
      <c r="BP93" s="206">
        <f>IF(BP85="","",BP85+BP89)</f>
      </c>
      <c r="BQ93" s="29"/>
    </row>
    <row r="94" spans="1:69" ht="7.5" customHeight="1">
      <c r="A94" s="19"/>
      <c r="B94" s="172"/>
      <c r="C94" s="172"/>
      <c r="D94" s="172"/>
      <c r="E94" s="172"/>
      <c r="F94" s="172"/>
      <c r="G94" s="172"/>
      <c r="H94" s="172"/>
      <c r="I94" s="172"/>
      <c r="J94" s="49"/>
      <c r="K94" s="172"/>
      <c r="L94" s="172"/>
      <c r="M94" s="172"/>
      <c r="N94" s="228"/>
      <c r="O94" s="228"/>
      <c r="P94" s="228"/>
      <c r="Q94" s="330"/>
      <c r="R94" s="330"/>
      <c r="S94" s="384"/>
      <c r="T94" s="384"/>
      <c r="U94" s="385"/>
      <c r="V94" s="329"/>
      <c r="W94" s="330"/>
      <c r="X94" s="384"/>
      <c r="Y94" s="384"/>
      <c r="Z94" s="385"/>
      <c r="AA94" s="329"/>
      <c r="AB94" s="330"/>
      <c r="AC94" s="330"/>
      <c r="AD94" s="330"/>
      <c r="AE94" s="347"/>
      <c r="AF94" s="53"/>
      <c r="AG94" s="13"/>
      <c r="AH94" s="46"/>
      <c r="AI94" s="46"/>
      <c r="AJ94" s="46"/>
      <c r="AK94" s="47"/>
      <c r="AL94" s="56"/>
      <c r="AM94" s="329"/>
      <c r="AN94" s="330"/>
      <c r="AO94" s="347"/>
      <c r="AP94" s="357"/>
      <c r="AQ94" s="358"/>
      <c r="AR94" s="359"/>
      <c r="AS94" s="329"/>
      <c r="AT94" s="330"/>
      <c r="AU94" s="384"/>
      <c r="AV94" s="384"/>
      <c r="AW94" s="385"/>
      <c r="AX94" s="53"/>
      <c r="AY94" s="13"/>
      <c r="AZ94" s="46"/>
      <c r="BA94" s="46"/>
      <c r="BB94" s="46"/>
      <c r="BC94" s="47"/>
      <c r="BD94" s="13"/>
      <c r="BE94" s="297"/>
      <c r="BF94" s="297"/>
      <c r="BG94" s="297"/>
      <c r="BH94" s="172"/>
      <c r="BI94" s="228"/>
      <c r="BJ94" s="228"/>
      <c r="BK94" s="172"/>
      <c r="BL94" s="172"/>
      <c r="BM94" s="205"/>
      <c r="BN94" s="207"/>
      <c r="BO94" s="205"/>
      <c r="BP94" s="207"/>
      <c r="BQ94" s="29"/>
    </row>
    <row r="95" spans="1:69" ht="7.5" customHeight="1">
      <c r="A95" s="19"/>
      <c r="B95" s="228">
        <f>O66+IF(N93="",0,N93)</f>
        <v>5</v>
      </c>
      <c r="C95" s="228"/>
      <c r="D95" s="228"/>
      <c r="E95" s="228"/>
      <c r="F95" s="228"/>
      <c r="G95" s="228"/>
      <c r="H95" s="228"/>
      <c r="I95" s="228"/>
      <c r="J95" s="58"/>
      <c r="K95" s="378" t="s">
        <v>231</v>
      </c>
      <c r="L95" s="378"/>
      <c r="M95" s="378"/>
      <c r="N95" s="378"/>
      <c r="O95" s="378"/>
      <c r="P95" s="378"/>
      <c r="Q95" s="387">
        <f>IF(INDEX(Таблицы!AD332:AD375,Таблицы!Y334,1)="",0,INDEX(Таблицы!AD332:AD375,Таблицы!Y334,1))+INDEX(Таблицы!V2:V10,Таблицы!G1,1)+IF(AND(Таблицы!G1=8,OR(Таблицы!F112=26,Таблицы!F113=26)),5,0)</f>
        <v>0</v>
      </c>
      <c r="R95" s="369"/>
      <c r="S95" s="365">
        <f>IF(INDEX(Таблицы!AE332:AE375,Таблицы!Y334,1)&lt;Таблицы!AX344/100,0,INDEX(Таблицы!AE332:AE375,Таблицы!Y334,1)-Таблицы!AX344/100)+INDEX(Таблицы!W2:W10,Таблицы!G1,1)</f>
        <v>0</v>
      </c>
      <c r="T95" s="365"/>
      <c r="U95" s="366"/>
      <c r="V95" s="274"/>
      <c r="W95" s="386"/>
      <c r="X95" s="379"/>
      <c r="Y95" s="379"/>
      <c r="Z95" s="380"/>
      <c r="AA95" s="298">
        <f>Q95+V95</f>
        <v>0</v>
      </c>
      <c r="AB95" s="369"/>
      <c r="AC95" s="365">
        <f>IF(S95+X95&lt;0,0,S95+X95)</f>
        <v>0</v>
      </c>
      <c r="AD95" s="365"/>
      <c r="AE95" s="366"/>
      <c r="AF95" s="360" t="s">
        <v>100</v>
      </c>
      <c r="AG95" s="361"/>
      <c r="AH95" s="364">
        <v>1</v>
      </c>
      <c r="AI95" s="364"/>
      <c r="AJ95" s="364">
        <v>2</v>
      </c>
      <c r="AK95" s="364"/>
      <c r="AL95" s="13"/>
      <c r="AM95" s="378" t="s">
        <v>231</v>
      </c>
      <c r="AN95" s="378"/>
      <c r="AO95" s="378"/>
      <c r="AP95" s="378"/>
      <c r="AQ95" s="378"/>
      <c r="AR95" s="378"/>
      <c r="AS95" s="298">
        <f>IF(INDEX(Таблицы!AD378:AD396,Таблицы!Y380,1)="",0,INDEX(Таблицы!AD378:AD396,Таблицы!Y380,1))</f>
        <v>0</v>
      </c>
      <c r="AT95" s="369"/>
      <c r="AU95" s="365">
        <f>IF(INDEX(Таблицы!AE378:AE396,Таблицы!Y380,1)&lt;Таблицы!AW390/100,0,INDEX(Таблицы!AE378:AE396,Таблицы!Y380,1)-Таблицы!AW390/100)</f>
        <v>0</v>
      </c>
      <c r="AV95" s="365"/>
      <c r="AW95" s="366"/>
      <c r="AX95" s="360" t="s">
        <v>100</v>
      </c>
      <c r="AY95" s="361"/>
      <c r="AZ95" s="364">
        <v>1</v>
      </c>
      <c r="BA95" s="364"/>
      <c r="BB95" s="364">
        <v>2</v>
      </c>
      <c r="BC95" s="364"/>
      <c r="BD95" s="13"/>
      <c r="BE95" s="327" t="s">
        <v>327</v>
      </c>
      <c r="BF95" s="328"/>
      <c r="BG95" s="328"/>
      <c r="BH95" s="328"/>
      <c r="BI95" s="328"/>
      <c r="BJ95" s="328"/>
      <c r="BK95" s="328"/>
      <c r="BL95" s="328"/>
      <c r="BM95" s="328"/>
      <c r="BN95" s="328"/>
      <c r="BO95" s="328"/>
      <c r="BP95" s="346"/>
      <c r="BQ95" s="29"/>
    </row>
    <row r="96" spans="1:69" ht="7.5" customHeight="1">
      <c r="A96" s="19"/>
      <c r="B96" s="228"/>
      <c r="C96" s="228"/>
      <c r="D96" s="228"/>
      <c r="E96" s="228"/>
      <c r="F96" s="228"/>
      <c r="G96" s="228"/>
      <c r="H96" s="228"/>
      <c r="I96" s="228"/>
      <c r="J96" s="58"/>
      <c r="K96" s="378"/>
      <c r="L96" s="378"/>
      <c r="M96" s="378"/>
      <c r="N96" s="378"/>
      <c r="O96" s="378"/>
      <c r="P96" s="378"/>
      <c r="Q96" s="387"/>
      <c r="R96" s="369"/>
      <c r="S96" s="367"/>
      <c r="T96" s="367"/>
      <c r="U96" s="368"/>
      <c r="V96" s="274"/>
      <c r="W96" s="386"/>
      <c r="X96" s="381"/>
      <c r="Y96" s="381"/>
      <c r="Z96" s="382"/>
      <c r="AA96" s="298"/>
      <c r="AB96" s="369"/>
      <c r="AC96" s="367"/>
      <c r="AD96" s="367"/>
      <c r="AE96" s="368"/>
      <c r="AF96" s="360"/>
      <c r="AG96" s="361"/>
      <c r="AH96" s="224"/>
      <c r="AI96" s="224"/>
      <c r="AJ96" s="224"/>
      <c r="AK96" s="224"/>
      <c r="AL96" s="13"/>
      <c r="AM96" s="378"/>
      <c r="AN96" s="378"/>
      <c r="AO96" s="378"/>
      <c r="AP96" s="378"/>
      <c r="AQ96" s="378"/>
      <c r="AR96" s="378"/>
      <c r="AS96" s="298"/>
      <c r="AT96" s="369"/>
      <c r="AU96" s="367"/>
      <c r="AV96" s="367"/>
      <c r="AW96" s="368"/>
      <c r="AX96" s="360"/>
      <c r="AY96" s="361"/>
      <c r="AZ96" s="224"/>
      <c r="BA96" s="224"/>
      <c r="BB96" s="224"/>
      <c r="BC96" s="224"/>
      <c r="BD96" s="13"/>
      <c r="BE96" s="329"/>
      <c r="BF96" s="330"/>
      <c r="BG96" s="330"/>
      <c r="BH96" s="330"/>
      <c r="BI96" s="330"/>
      <c r="BJ96" s="330"/>
      <c r="BK96" s="330"/>
      <c r="BL96" s="330"/>
      <c r="BM96" s="330"/>
      <c r="BN96" s="330"/>
      <c r="BO96" s="330"/>
      <c r="BP96" s="347"/>
      <c r="BQ96" s="29"/>
    </row>
    <row r="97" spans="1:69" ht="7.5" customHeight="1">
      <c r="A97" s="19"/>
      <c r="B97" s="172" t="s">
        <v>300</v>
      </c>
      <c r="C97" s="172"/>
      <c r="D97" s="172"/>
      <c r="E97" s="172"/>
      <c r="F97" s="172"/>
      <c r="G97" s="172"/>
      <c r="H97" s="172"/>
      <c r="I97" s="172"/>
      <c r="J97" s="49"/>
      <c r="K97" s="378" t="s">
        <v>104</v>
      </c>
      <c r="L97" s="378"/>
      <c r="M97" s="378"/>
      <c r="N97" s="378"/>
      <c r="O97" s="378"/>
      <c r="P97" s="378"/>
      <c r="Q97" s="387">
        <f>IF(INDEX(Таблицы!AF332:AF375,Таблицы!Y334,1)="",0,INDEX(Таблицы!AF332:AF375,Таблицы!Y334,1))+INDEX(Таблицы!X2:X10,Таблицы!G1,1)+IF(AND(Таблицы!G1=8,OR(Таблицы!F112=26,Таблицы!F113=26)),5,0)</f>
        <v>0</v>
      </c>
      <c r="R97" s="369"/>
      <c r="S97" s="365">
        <f>IF(INDEX(Таблицы!AG332:AG375,Таблицы!Y334,1)&lt;Таблицы!AX344/100,0,INDEX(Таблицы!AG332:AG375,Таблицы!Y334,1)-Таблицы!AX344/100)+INDEX(Таблицы!Y2:Y10,Таблицы!G1,1)</f>
        <v>0</v>
      </c>
      <c r="T97" s="365"/>
      <c r="U97" s="366"/>
      <c r="V97" s="274"/>
      <c r="W97" s="386"/>
      <c r="X97" s="379"/>
      <c r="Y97" s="379"/>
      <c r="Z97" s="380"/>
      <c r="AA97" s="298">
        <f>Q97+V97</f>
        <v>0</v>
      </c>
      <c r="AB97" s="369"/>
      <c r="AC97" s="365">
        <f>IF(S97+X97&lt;0,0,S97+X97)</f>
        <v>0</v>
      </c>
      <c r="AD97" s="365"/>
      <c r="AE97" s="366"/>
      <c r="AF97" s="360"/>
      <c r="AG97" s="361"/>
      <c r="AH97" s="224">
        <v>3</v>
      </c>
      <c r="AI97" s="224"/>
      <c r="AJ97" s="224">
        <v>4</v>
      </c>
      <c r="AK97" s="224"/>
      <c r="AL97" s="13"/>
      <c r="AM97" s="378" t="s">
        <v>104</v>
      </c>
      <c r="AN97" s="378"/>
      <c r="AO97" s="378"/>
      <c r="AP97" s="378"/>
      <c r="AQ97" s="378"/>
      <c r="AR97" s="378"/>
      <c r="AS97" s="298">
        <f>IF(INDEX(Таблицы!AF378:AF396,Таблицы!Y380,1)="",0,INDEX(Таблицы!AF378:AF396,Таблицы!Y380,1))</f>
        <v>0</v>
      </c>
      <c r="AT97" s="369"/>
      <c r="AU97" s="365">
        <f>IF(INDEX(Таблицы!AG378:AG396,Таблицы!Y380,1)&lt;Таблицы!AW390/100,0,INDEX(Таблицы!AG378:AG396,Таблицы!Y380,1)-Таблицы!AW390/100)</f>
        <v>0</v>
      </c>
      <c r="AV97" s="365"/>
      <c r="AW97" s="366"/>
      <c r="AX97" s="360"/>
      <c r="AY97" s="361"/>
      <c r="AZ97" s="224">
        <v>3</v>
      </c>
      <c r="BA97" s="224"/>
      <c r="BB97" s="224">
        <v>4</v>
      </c>
      <c r="BC97" s="224"/>
      <c r="BD97" s="13"/>
      <c r="BE97" s="348">
        <f>IF(INDEX(Таблицы!AT483:AT515,Таблицы!Y484,1)="","",INDEX(Таблицы!AT483:AT515,Таблицы!Y484,1))</f>
      </c>
      <c r="BF97" s="349"/>
      <c r="BG97" s="349"/>
      <c r="BH97" s="349"/>
      <c r="BI97" s="349"/>
      <c r="BJ97" s="349"/>
      <c r="BK97" s="349"/>
      <c r="BL97" s="349"/>
      <c r="BM97" s="349"/>
      <c r="BN97" s="349"/>
      <c r="BO97" s="349"/>
      <c r="BP97" s="350"/>
      <c r="BQ97" s="29"/>
    </row>
    <row r="98" spans="1:69" ht="7.5" customHeight="1">
      <c r="A98" s="19"/>
      <c r="B98" s="172"/>
      <c r="C98" s="172"/>
      <c r="D98" s="172"/>
      <c r="E98" s="172"/>
      <c r="F98" s="172"/>
      <c r="G98" s="172"/>
      <c r="H98" s="172"/>
      <c r="I98" s="172"/>
      <c r="J98" s="49"/>
      <c r="K98" s="378"/>
      <c r="L98" s="378"/>
      <c r="M98" s="378"/>
      <c r="N98" s="378"/>
      <c r="O98" s="378"/>
      <c r="P98" s="378"/>
      <c r="Q98" s="387"/>
      <c r="R98" s="369"/>
      <c r="S98" s="367"/>
      <c r="T98" s="367"/>
      <c r="U98" s="368"/>
      <c r="V98" s="274"/>
      <c r="W98" s="386"/>
      <c r="X98" s="381"/>
      <c r="Y98" s="381"/>
      <c r="Z98" s="382"/>
      <c r="AA98" s="298"/>
      <c r="AB98" s="369"/>
      <c r="AC98" s="367"/>
      <c r="AD98" s="367"/>
      <c r="AE98" s="368"/>
      <c r="AF98" s="360"/>
      <c r="AG98" s="361"/>
      <c r="AH98" s="224"/>
      <c r="AI98" s="224"/>
      <c r="AJ98" s="224"/>
      <c r="AK98" s="224"/>
      <c r="AL98" s="13"/>
      <c r="AM98" s="378"/>
      <c r="AN98" s="378"/>
      <c r="AO98" s="378"/>
      <c r="AP98" s="378"/>
      <c r="AQ98" s="378"/>
      <c r="AR98" s="378"/>
      <c r="AS98" s="298"/>
      <c r="AT98" s="369"/>
      <c r="AU98" s="367"/>
      <c r="AV98" s="367"/>
      <c r="AW98" s="368"/>
      <c r="AX98" s="360"/>
      <c r="AY98" s="361"/>
      <c r="AZ98" s="224"/>
      <c r="BA98" s="224"/>
      <c r="BB98" s="224"/>
      <c r="BC98" s="224"/>
      <c r="BD98" s="13"/>
      <c r="BE98" s="351"/>
      <c r="BF98" s="352"/>
      <c r="BG98" s="352"/>
      <c r="BH98" s="352"/>
      <c r="BI98" s="352"/>
      <c r="BJ98" s="352"/>
      <c r="BK98" s="352"/>
      <c r="BL98" s="352"/>
      <c r="BM98" s="352"/>
      <c r="BN98" s="352"/>
      <c r="BO98" s="352"/>
      <c r="BP98" s="353"/>
      <c r="BQ98" s="29"/>
    </row>
    <row r="99" spans="1:69" ht="7.5" customHeight="1" thickBot="1">
      <c r="A99" s="19"/>
      <c r="B99" s="227"/>
      <c r="C99" s="227"/>
      <c r="D99" s="227"/>
      <c r="E99" s="227"/>
      <c r="F99" s="227"/>
      <c r="G99" s="227"/>
      <c r="H99" s="227"/>
      <c r="I99" s="227"/>
      <c r="J99" s="58"/>
      <c r="K99" s="378" t="s">
        <v>107</v>
      </c>
      <c r="L99" s="378"/>
      <c r="M99" s="378"/>
      <c r="N99" s="378"/>
      <c r="O99" s="378"/>
      <c r="P99" s="378"/>
      <c r="Q99" s="387">
        <f>IF(INDEX(Таблицы!AH332:AH375,Таблицы!Y334,1)="",0,INDEX(Таблицы!AH332:AH375,Таблицы!Y334,1))+INDEX(Таблицы!Z2:Z10,Таблицы!G1,1)+IF(AND(Таблицы!G1=8,OR(Таблицы!F112=26,Таблицы!F113=26)),5,0)</f>
        <v>0</v>
      </c>
      <c r="R99" s="369"/>
      <c r="S99" s="365">
        <f>IF(INDEX(Таблицы!AI332:AI375,Таблицы!Y334,1)&lt;Таблицы!AX344/100,0,INDEX(Таблицы!AI332:AI375,Таблицы!Y334,1)-Таблицы!AX344/100)+INDEX(Таблицы!AA2:AA10,Таблицы!G1,1)</f>
        <v>0</v>
      </c>
      <c r="T99" s="365"/>
      <c r="U99" s="366"/>
      <c r="V99" s="274"/>
      <c r="W99" s="386"/>
      <c r="X99" s="379"/>
      <c r="Y99" s="379"/>
      <c r="Z99" s="380"/>
      <c r="AA99" s="298">
        <f>Q99+V99</f>
        <v>0</v>
      </c>
      <c r="AB99" s="369"/>
      <c r="AC99" s="365">
        <f>IF(S99+X99&lt;0,0,S99+X99)</f>
        <v>0</v>
      </c>
      <c r="AD99" s="365"/>
      <c r="AE99" s="366"/>
      <c r="AF99" s="360"/>
      <c r="AG99" s="361"/>
      <c r="AH99" s="224">
        <v>5</v>
      </c>
      <c r="AI99" s="224"/>
      <c r="AJ99" s="224">
        <v>6</v>
      </c>
      <c r="AK99" s="224"/>
      <c r="AL99" s="13"/>
      <c r="AM99" s="378" t="s">
        <v>107</v>
      </c>
      <c r="AN99" s="378"/>
      <c r="AO99" s="378"/>
      <c r="AP99" s="378"/>
      <c r="AQ99" s="378"/>
      <c r="AR99" s="378"/>
      <c r="AS99" s="298">
        <f>IF(INDEX(Таблицы!AH378:AH396,Таблицы!Y380,1)="",0,INDEX(Таблицы!AH378:AH396,Таблицы!Y380,1))</f>
        <v>0</v>
      </c>
      <c r="AT99" s="369"/>
      <c r="AU99" s="365">
        <f>IF(INDEX(Таблицы!AI378:AI396,Таблицы!Y380,1)&lt;Таблицы!AW390/100,0,INDEX(Таблицы!AI378:AI396,Таблицы!Y380,1)-Таблицы!AW390/100)</f>
        <v>0</v>
      </c>
      <c r="AV99" s="365"/>
      <c r="AW99" s="366"/>
      <c r="AX99" s="360"/>
      <c r="AY99" s="361"/>
      <c r="AZ99" s="224">
        <v>5</v>
      </c>
      <c r="BA99" s="224"/>
      <c r="BB99" s="224">
        <v>6</v>
      </c>
      <c r="BC99" s="224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29"/>
    </row>
    <row r="100" spans="1:69" ht="7.5" customHeight="1">
      <c r="A100" s="19"/>
      <c r="B100" s="227"/>
      <c r="C100" s="227"/>
      <c r="D100" s="227"/>
      <c r="E100" s="227"/>
      <c r="F100" s="227"/>
      <c r="G100" s="227"/>
      <c r="H100" s="227"/>
      <c r="I100" s="227"/>
      <c r="J100" s="58"/>
      <c r="K100" s="378"/>
      <c r="L100" s="378"/>
      <c r="M100" s="378"/>
      <c r="N100" s="378"/>
      <c r="O100" s="378"/>
      <c r="P100" s="378"/>
      <c r="Q100" s="387"/>
      <c r="R100" s="369"/>
      <c r="S100" s="367"/>
      <c r="T100" s="367"/>
      <c r="U100" s="368"/>
      <c r="V100" s="274"/>
      <c r="W100" s="386"/>
      <c r="X100" s="381"/>
      <c r="Y100" s="381"/>
      <c r="Z100" s="382"/>
      <c r="AA100" s="298"/>
      <c r="AB100" s="369"/>
      <c r="AC100" s="367"/>
      <c r="AD100" s="367"/>
      <c r="AE100" s="368"/>
      <c r="AF100" s="360"/>
      <c r="AG100" s="361"/>
      <c r="AH100" s="224"/>
      <c r="AI100" s="224"/>
      <c r="AJ100" s="224"/>
      <c r="AK100" s="224"/>
      <c r="AL100" s="13"/>
      <c r="AM100" s="378"/>
      <c r="AN100" s="378"/>
      <c r="AO100" s="378"/>
      <c r="AP100" s="378"/>
      <c r="AQ100" s="378"/>
      <c r="AR100" s="378"/>
      <c r="AS100" s="298"/>
      <c r="AT100" s="369"/>
      <c r="AU100" s="367"/>
      <c r="AV100" s="367"/>
      <c r="AW100" s="368"/>
      <c r="AX100" s="360"/>
      <c r="AY100" s="361"/>
      <c r="AZ100" s="224"/>
      <c r="BA100" s="224"/>
      <c r="BB100" s="224"/>
      <c r="BC100" s="224"/>
      <c r="BD100" s="13"/>
      <c r="BE100" s="321" t="s">
        <v>1077</v>
      </c>
      <c r="BF100" s="322"/>
      <c r="BG100" s="322"/>
      <c r="BH100" s="322"/>
      <c r="BI100" s="322"/>
      <c r="BJ100" s="322"/>
      <c r="BK100" s="322"/>
      <c r="BL100" s="322"/>
      <c r="BM100" s="322"/>
      <c r="BN100" s="322"/>
      <c r="BO100" s="322"/>
      <c r="BP100" s="323"/>
      <c r="BQ100" s="29"/>
    </row>
    <row r="101" spans="1:69" ht="7.5" customHeight="1" thickBot="1">
      <c r="A101" s="59"/>
      <c r="B101" s="172" t="s">
        <v>295</v>
      </c>
      <c r="C101" s="172"/>
      <c r="D101" s="172"/>
      <c r="E101" s="172"/>
      <c r="F101" s="172"/>
      <c r="G101" s="172"/>
      <c r="H101" s="172"/>
      <c r="I101" s="172"/>
      <c r="J101" s="49"/>
      <c r="K101" s="378" t="s">
        <v>105</v>
      </c>
      <c r="L101" s="378"/>
      <c r="M101" s="378"/>
      <c r="N101" s="378"/>
      <c r="O101" s="378"/>
      <c r="P101" s="378"/>
      <c r="Q101" s="387">
        <f>IF(INDEX(Таблицы!AJ332:AJ375,Таблицы!Y334,1)="",0,INDEX(Таблицы!AJ332:AJ375,Таблицы!Y334,1))+INDEX(Таблицы!AB2:AB10,Таблицы!G1,1)+IF(AND(Таблицы!G1=8,OR(Таблицы!F112=26,Таблицы!F113=26)),5,0)</f>
        <v>0</v>
      </c>
      <c r="R101" s="369"/>
      <c r="S101" s="365">
        <f>IF(INDEX(Таблицы!AK332:AK375,Таблицы!Y334,1)&lt;Таблицы!AX344/100,0,INDEX(Таблицы!AK332:AK375,Таблицы!Y334,1)-Таблицы!AX344/100)+INDEX(Таблицы!AC2:AC10,Таблицы!G1,1)</f>
        <v>0</v>
      </c>
      <c r="T101" s="365"/>
      <c r="U101" s="366"/>
      <c r="V101" s="274"/>
      <c r="W101" s="386"/>
      <c r="X101" s="379"/>
      <c r="Y101" s="379"/>
      <c r="Z101" s="380"/>
      <c r="AA101" s="298">
        <f>Q101+V101</f>
        <v>0</v>
      </c>
      <c r="AB101" s="369"/>
      <c r="AC101" s="365">
        <f>IF(S101+X101&lt;0,0,S101+X101)</f>
        <v>0</v>
      </c>
      <c r="AD101" s="365"/>
      <c r="AE101" s="366"/>
      <c r="AF101" s="360"/>
      <c r="AG101" s="361"/>
      <c r="AH101" s="224">
        <v>7</v>
      </c>
      <c r="AI101" s="224"/>
      <c r="AJ101" s="224">
        <v>8</v>
      </c>
      <c r="AK101" s="224"/>
      <c r="AL101" s="13"/>
      <c r="AM101" s="378" t="s">
        <v>105</v>
      </c>
      <c r="AN101" s="378"/>
      <c r="AO101" s="378"/>
      <c r="AP101" s="378"/>
      <c r="AQ101" s="378"/>
      <c r="AR101" s="378"/>
      <c r="AS101" s="298">
        <f>IF(INDEX(Таблицы!AJ378:AJ396,Таблицы!Y380,1)="",0,INDEX(Таблицы!AJ378:AJ396,Таблицы!Y380,1))</f>
        <v>0</v>
      </c>
      <c r="AT101" s="369"/>
      <c r="AU101" s="365">
        <f>IF(INDEX(Таблицы!AK378:AK396,Таблицы!Y380,1)&lt;Таблицы!AW390/100,0,INDEX(Таблицы!AK378:AK396,Таблицы!Y380,1)-Таблицы!AW390/100)</f>
        <v>0</v>
      </c>
      <c r="AV101" s="365"/>
      <c r="AW101" s="366"/>
      <c r="AX101" s="360"/>
      <c r="AY101" s="361"/>
      <c r="AZ101" s="224">
        <v>7</v>
      </c>
      <c r="BA101" s="224"/>
      <c r="BB101" s="224">
        <v>8</v>
      </c>
      <c r="BC101" s="224"/>
      <c r="BD101" s="13"/>
      <c r="BE101" s="324"/>
      <c r="BF101" s="325"/>
      <c r="BG101" s="325"/>
      <c r="BH101" s="325"/>
      <c r="BI101" s="325"/>
      <c r="BJ101" s="325"/>
      <c r="BK101" s="325"/>
      <c r="BL101" s="325"/>
      <c r="BM101" s="325"/>
      <c r="BN101" s="325"/>
      <c r="BO101" s="325"/>
      <c r="BP101" s="326"/>
      <c r="BQ101" s="29"/>
    </row>
    <row r="102" spans="1:69" ht="7.5" customHeight="1">
      <c r="A102" s="19"/>
      <c r="B102" s="172"/>
      <c r="C102" s="172"/>
      <c r="D102" s="172"/>
      <c r="E102" s="172"/>
      <c r="F102" s="172"/>
      <c r="G102" s="172"/>
      <c r="H102" s="172"/>
      <c r="I102" s="172"/>
      <c r="J102" s="49"/>
      <c r="K102" s="378"/>
      <c r="L102" s="378"/>
      <c r="M102" s="378"/>
      <c r="N102" s="378"/>
      <c r="O102" s="378"/>
      <c r="P102" s="378"/>
      <c r="Q102" s="387"/>
      <c r="R102" s="369"/>
      <c r="S102" s="367"/>
      <c r="T102" s="367"/>
      <c r="U102" s="368"/>
      <c r="V102" s="274"/>
      <c r="W102" s="386"/>
      <c r="X102" s="381"/>
      <c r="Y102" s="381"/>
      <c r="Z102" s="382"/>
      <c r="AA102" s="298"/>
      <c r="AB102" s="369"/>
      <c r="AC102" s="367"/>
      <c r="AD102" s="367"/>
      <c r="AE102" s="368"/>
      <c r="AF102" s="360"/>
      <c r="AG102" s="361"/>
      <c r="AH102" s="224"/>
      <c r="AI102" s="224"/>
      <c r="AJ102" s="224"/>
      <c r="AK102" s="224"/>
      <c r="AL102" s="13"/>
      <c r="AM102" s="378"/>
      <c r="AN102" s="378"/>
      <c r="AO102" s="378"/>
      <c r="AP102" s="378"/>
      <c r="AQ102" s="378"/>
      <c r="AR102" s="378"/>
      <c r="AS102" s="298"/>
      <c r="AT102" s="369"/>
      <c r="AU102" s="367"/>
      <c r="AV102" s="367"/>
      <c r="AW102" s="368"/>
      <c r="AX102" s="360"/>
      <c r="AY102" s="361"/>
      <c r="AZ102" s="224"/>
      <c r="BA102" s="224"/>
      <c r="BB102" s="224"/>
      <c r="BC102" s="224"/>
      <c r="BD102" s="13"/>
      <c r="BE102" s="395"/>
      <c r="BF102" s="395"/>
      <c r="BG102" s="395"/>
      <c r="BH102" s="395"/>
      <c r="BI102" s="395"/>
      <c r="BJ102" s="395"/>
      <c r="BK102" s="395"/>
      <c r="BL102" s="395"/>
      <c r="BM102" s="395"/>
      <c r="BN102" s="395"/>
      <c r="BO102" s="395"/>
      <c r="BP102" s="395"/>
      <c r="BQ102" s="29"/>
    </row>
    <row r="103" spans="1:69" ht="7.5" customHeight="1">
      <c r="A103" s="19"/>
      <c r="B103" s="228">
        <f>B95+B99</f>
        <v>5</v>
      </c>
      <c r="C103" s="228"/>
      <c r="D103" s="228"/>
      <c r="E103" s="228"/>
      <c r="F103" s="228"/>
      <c r="G103" s="228"/>
      <c r="H103" s="228"/>
      <c r="I103" s="228"/>
      <c r="J103" s="58"/>
      <c r="K103" s="378" t="s">
        <v>106</v>
      </c>
      <c r="L103" s="378"/>
      <c r="M103" s="378"/>
      <c r="N103" s="378"/>
      <c r="O103" s="378"/>
      <c r="P103" s="378"/>
      <c r="Q103" s="387">
        <f>IF(INDEX(Таблицы!AL332:AL375,Таблицы!Y334,1)="",0,INDEX(Таблицы!AL332:AL375,Таблицы!Y334,1))+INDEX(Таблицы!AD2:AD10,Таблицы!G1,1)+IF(AND(Таблицы!G1=8,OR(Таблицы!F112=26,Таблицы!F113=26)),5,0)</f>
        <v>0</v>
      </c>
      <c r="R103" s="369"/>
      <c r="S103" s="365">
        <f>IF(INDEX(Таблицы!AM332:AM375,Таблицы!Y334,1)&lt;Таблицы!AX344/100,0,INDEX(Таблицы!AM332:AM375,Таблицы!Y334,1)-Таблицы!AX344/100)+INDEX(Таблицы!AE2:AE10,Таблицы!G1,1)</f>
        <v>0</v>
      </c>
      <c r="T103" s="365"/>
      <c r="U103" s="366"/>
      <c r="V103" s="274"/>
      <c r="W103" s="386"/>
      <c r="X103" s="379"/>
      <c r="Y103" s="379"/>
      <c r="Z103" s="380"/>
      <c r="AA103" s="298">
        <f>Q103+V103</f>
        <v>0</v>
      </c>
      <c r="AB103" s="369"/>
      <c r="AC103" s="365">
        <f>IF(S103+X103&lt;0,0,S103+X103)</f>
        <v>0</v>
      </c>
      <c r="AD103" s="365"/>
      <c r="AE103" s="366"/>
      <c r="AF103" s="360"/>
      <c r="AG103" s="361"/>
      <c r="AH103" s="224">
        <v>9</v>
      </c>
      <c r="AI103" s="224"/>
      <c r="AJ103" s="224">
        <v>10</v>
      </c>
      <c r="AK103" s="224"/>
      <c r="AL103" s="13"/>
      <c r="AM103" s="378" t="s">
        <v>106</v>
      </c>
      <c r="AN103" s="378"/>
      <c r="AO103" s="378"/>
      <c r="AP103" s="378"/>
      <c r="AQ103" s="378"/>
      <c r="AR103" s="378"/>
      <c r="AS103" s="298" t="s">
        <v>285</v>
      </c>
      <c r="AT103" s="369"/>
      <c r="AU103" s="365" t="s">
        <v>285</v>
      </c>
      <c r="AV103" s="365"/>
      <c r="AW103" s="366"/>
      <c r="AX103" s="360"/>
      <c r="AY103" s="361"/>
      <c r="AZ103" s="224">
        <v>9</v>
      </c>
      <c r="BA103" s="224"/>
      <c r="BB103" s="224">
        <v>10</v>
      </c>
      <c r="BC103" s="224"/>
      <c r="BD103" s="13"/>
      <c r="BE103" s="261"/>
      <c r="BF103" s="261"/>
      <c r="BG103" s="261"/>
      <c r="BH103" s="261"/>
      <c r="BI103" s="261"/>
      <c r="BJ103" s="261"/>
      <c r="BK103" s="261"/>
      <c r="BL103" s="261"/>
      <c r="BM103" s="261"/>
      <c r="BN103" s="261"/>
      <c r="BO103" s="261"/>
      <c r="BP103" s="261"/>
      <c r="BQ103" s="29"/>
    </row>
    <row r="104" spans="1:69" ht="7.5" customHeight="1">
      <c r="A104" s="19"/>
      <c r="B104" s="228"/>
      <c r="C104" s="228"/>
      <c r="D104" s="228"/>
      <c r="E104" s="228"/>
      <c r="F104" s="228"/>
      <c r="G104" s="228"/>
      <c r="H104" s="228"/>
      <c r="I104" s="228"/>
      <c r="J104" s="26"/>
      <c r="K104" s="378"/>
      <c r="L104" s="378"/>
      <c r="M104" s="378"/>
      <c r="N104" s="378"/>
      <c r="O104" s="378"/>
      <c r="P104" s="378"/>
      <c r="Q104" s="387"/>
      <c r="R104" s="369"/>
      <c r="S104" s="367"/>
      <c r="T104" s="367"/>
      <c r="U104" s="368"/>
      <c r="V104" s="274"/>
      <c r="W104" s="386"/>
      <c r="X104" s="381"/>
      <c r="Y104" s="381"/>
      <c r="Z104" s="382"/>
      <c r="AA104" s="298"/>
      <c r="AB104" s="369"/>
      <c r="AC104" s="367"/>
      <c r="AD104" s="367"/>
      <c r="AE104" s="368"/>
      <c r="AF104" s="362"/>
      <c r="AG104" s="363"/>
      <c r="AH104" s="224"/>
      <c r="AI104" s="224"/>
      <c r="AJ104" s="224"/>
      <c r="AK104" s="224"/>
      <c r="AL104" s="13"/>
      <c r="AM104" s="378"/>
      <c r="AN104" s="378"/>
      <c r="AO104" s="378"/>
      <c r="AP104" s="378"/>
      <c r="AQ104" s="378"/>
      <c r="AR104" s="378"/>
      <c r="AS104" s="298"/>
      <c r="AT104" s="369"/>
      <c r="AU104" s="367"/>
      <c r="AV104" s="367"/>
      <c r="AW104" s="368"/>
      <c r="AX104" s="362"/>
      <c r="AY104" s="363"/>
      <c r="AZ104" s="224"/>
      <c r="BA104" s="224"/>
      <c r="BB104" s="224"/>
      <c r="BC104" s="224"/>
      <c r="BD104" s="13"/>
      <c r="BE104" s="261"/>
      <c r="BF104" s="261"/>
      <c r="BG104" s="261"/>
      <c r="BH104" s="261"/>
      <c r="BI104" s="261"/>
      <c r="BJ104" s="261"/>
      <c r="BK104" s="261"/>
      <c r="BL104" s="261"/>
      <c r="BM104" s="261"/>
      <c r="BN104" s="261"/>
      <c r="BO104" s="261"/>
      <c r="BP104" s="261"/>
      <c r="BQ104" s="29"/>
    </row>
    <row r="105" spans="1:69" ht="7.5" customHeight="1">
      <c r="A105" s="65"/>
      <c r="B105" s="46"/>
      <c r="C105" s="46"/>
      <c r="D105" s="46"/>
      <c r="E105" s="46"/>
      <c r="F105" s="68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261"/>
      <c r="BF105" s="261"/>
      <c r="BG105" s="261"/>
      <c r="BH105" s="261"/>
      <c r="BI105" s="261"/>
      <c r="BJ105" s="261"/>
      <c r="BK105" s="261"/>
      <c r="BL105" s="261"/>
      <c r="BM105" s="261"/>
      <c r="BN105" s="261"/>
      <c r="BO105" s="261"/>
      <c r="BP105" s="261"/>
      <c r="BQ105" s="29"/>
    </row>
    <row r="106" spans="1:69" ht="7.5" customHeight="1" thickBot="1">
      <c r="A106" s="19"/>
      <c r="B106" s="13"/>
      <c r="C106" s="13"/>
      <c r="D106" s="13"/>
      <c r="E106" s="13"/>
      <c r="F106" s="35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261"/>
      <c r="BF106" s="261"/>
      <c r="BG106" s="261"/>
      <c r="BH106" s="261"/>
      <c r="BI106" s="261"/>
      <c r="BJ106" s="261"/>
      <c r="BK106" s="261"/>
      <c r="BL106" s="261"/>
      <c r="BM106" s="261"/>
      <c r="BN106" s="261"/>
      <c r="BO106" s="261"/>
      <c r="BP106" s="261"/>
      <c r="BQ106" s="29"/>
    </row>
    <row r="107" spans="1:69" ht="7.5" customHeight="1">
      <c r="A107" s="19"/>
      <c r="B107" s="370" t="s">
        <v>301</v>
      </c>
      <c r="C107" s="371"/>
      <c r="D107" s="371"/>
      <c r="E107" s="371"/>
      <c r="F107" s="371"/>
      <c r="G107" s="371"/>
      <c r="H107" s="371"/>
      <c r="I107" s="371"/>
      <c r="J107" s="371"/>
      <c r="K107" s="371"/>
      <c r="L107" s="371"/>
      <c r="M107" s="371"/>
      <c r="N107" s="371"/>
      <c r="O107" s="371"/>
      <c r="P107" s="371"/>
      <c r="Q107" s="371"/>
      <c r="R107" s="371"/>
      <c r="S107" s="371"/>
      <c r="T107" s="371"/>
      <c r="U107" s="371"/>
      <c r="V107" s="371"/>
      <c r="W107" s="371"/>
      <c r="X107" s="371"/>
      <c r="Y107" s="371"/>
      <c r="Z107" s="371"/>
      <c r="AA107" s="371"/>
      <c r="AB107" s="371"/>
      <c r="AC107" s="371"/>
      <c r="AD107" s="371"/>
      <c r="AE107" s="371"/>
      <c r="AF107" s="371"/>
      <c r="AG107" s="371"/>
      <c r="AH107" s="371"/>
      <c r="AI107" s="371"/>
      <c r="AJ107" s="371"/>
      <c r="AK107" s="371"/>
      <c r="AL107" s="371"/>
      <c r="AM107" s="371"/>
      <c r="AN107" s="371"/>
      <c r="AO107" s="371"/>
      <c r="AP107" s="371"/>
      <c r="AQ107" s="371"/>
      <c r="AR107" s="371"/>
      <c r="AS107" s="371"/>
      <c r="AT107" s="371"/>
      <c r="AU107" s="371"/>
      <c r="AV107" s="371"/>
      <c r="AW107" s="371"/>
      <c r="AX107" s="371"/>
      <c r="AY107" s="371"/>
      <c r="AZ107" s="371"/>
      <c r="BA107" s="371"/>
      <c r="BB107" s="371"/>
      <c r="BC107" s="372"/>
      <c r="BD107" s="13"/>
      <c r="BE107" s="261"/>
      <c r="BF107" s="261"/>
      <c r="BG107" s="261"/>
      <c r="BH107" s="261"/>
      <c r="BI107" s="261"/>
      <c r="BJ107" s="261"/>
      <c r="BK107" s="261"/>
      <c r="BL107" s="261"/>
      <c r="BM107" s="261"/>
      <c r="BN107" s="261"/>
      <c r="BO107" s="261"/>
      <c r="BP107" s="261"/>
      <c r="BQ107" s="29"/>
    </row>
    <row r="108" spans="1:69" ht="7.5" customHeight="1">
      <c r="A108" s="19"/>
      <c r="B108" s="392"/>
      <c r="C108" s="393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3"/>
      <c r="V108" s="393"/>
      <c r="W108" s="393"/>
      <c r="X108" s="393"/>
      <c r="Y108" s="393"/>
      <c r="Z108" s="393"/>
      <c r="AA108" s="393"/>
      <c r="AB108" s="393"/>
      <c r="AC108" s="393"/>
      <c r="AD108" s="393"/>
      <c r="AE108" s="393"/>
      <c r="AF108" s="393"/>
      <c r="AG108" s="393"/>
      <c r="AH108" s="393"/>
      <c r="AI108" s="393"/>
      <c r="AJ108" s="393"/>
      <c r="AK108" s="393"/>
      <c r="AL108" s="393"/>
      <c r="AM108" s="393"/>
      <c r="AN108" s="393"/>
      <c r="AO108" s="393"/>
      <c r="AP108" s="393"/>
      <c r="AQ108" s="393"/>
      <c r="AR108" s="393"/>
      <c r="AS108" s="393"/>
      <c r="AT108" s="393"/>
      <c r="AU108" s="393"/>
      <c r="AV108" s="393"/>
      <c r="AW108" s="393"/>
      <c r="AX108" s="393"/>
      <c r="AY108" s="393"/>
      <c r="AZ108" s="393"/>
      <c r="BA108" s="393"/>
      <c r="BB108" s="393"/>
      <c r="BC108" s="394"/>
      <c r="BD108" s="13"/>
      <c r="BE108" s="261"/>
      <c r="BF108" s="261"/>
      <c r="BG108" s="261"/>
      <c r="BH108" s="261"/>
      <c r="BI108" s="261"/>
      <c r="BJ108" s="261"/>
      <c r="BK108" s="261"/>
      <c r="BL108" s="261"/>
      <c r="BM108" s="261"/>
      <c r="BN108" s="261"/>
      <c r="BO108" s="261"/>
      <c r="BP108" s="261"/>
      <c r="BQ108" s="29"/>
    </row>
    <row r="109" spans="1:69" ht="7.5" customHeight="1">
      <c r="A109" s="19"/>
      <c r="B109" s="336" t="s">
        <v>303</v>
      </c>
      <c r="C109" s="334" t="s">
        <v>304</v>
      </c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88" t="s">
        <v>98</v>
      </c>
      <c r="R109" s="388"/>
      <c r="S109" s="388"/>
      <c r="T109" s="388" t="s">
        <v>229</v>
      </c>
      <c r="U109" s="388"/>
      <c r="V109" s="388"/>
      <c r="W109" s="388" t="s">
        <v>302</v>
      </c>
      <c r="X109" s="388"/>
      <c r="Y109" s="388"/>
      <c r="Z109" s="388" t="s">
        <v>70</v>
      </c>
      <c r="AA109" s="388"/>
      <c r="AB109" s="388"/>
      <c r="AC109" s="334" t="s">
        <v>303</v>
      </c>
      <c r="AD109" s="334" t="s">
        <v>304</v>
      </c>
      <c r="AE109" s="334"/>
      <c r="AF109" s="334"/>
      <c r="AG109" s="334"/>
      <c r="AH109" s="334"/>
      <c r="AI109" s="334"/>
      <c r="AJ109" s="334"/>
      <c r="AK109" s="334"/>
      <c r="AL109" s="334"/>
      <c r="AM109" s="334"/>
      <c r="AN109" s="334"/>
      <c r="AO109" s="334"/>
      <c r="AP109" s="334"/>
      <c r="AQ109" s="334"/>
      <c r="AR109" s="388" t="s">
        <v>98</v>
      </c>
      <c r="AS109" s="388"/>
      <c r="AT109" s="388"/>
      <c r="AU109" s="388" t="s">
        <v>229</v>
      </c>
      <c r="AV109" s="388"/>
      <c r="AW109" s="388"/>
      <c r="AX109" s="388" t="s">
        <v>302</v>
      </c>
      <c r="AY109" s="388"/>
      <c r="AZ109" s="388"/>
      <c r="BA109" s="388" t="s">
        <v>70</v>
      </c>
      <c r="BB109" s="388"/>
      <c r="BC109" s="390"/>
      <c r="BD109" s="13"/>
      <c r="BE109" s="261"/>
      <c r="BF109" s="261"/>
      <c r="BG109" s="261"/>
      <c r="BH109" s="261"/>
      <c r="BI109" s="261"/>
      <c r="BJ109" s="261"/>
      <c r="BK109" s="261"/>
      <c r="BL109" s="261"/>
      <c r="BM109" s="261"/>
      <c r="BN109" s="261"/>
      <c r="BO109" s="261"/>
      <c r="BP109" s="261"/>
      <c r="BQ109" s="29"/>
    </row>
    <row r="110" spans="1:69" ht="7.5" customHeight="1" thickBot="1">
      <c r="A110" s="19"/>
      <c r="B110" s="337"/>
      <c r="C110" s="335"/>
      <c r="D110" s="335"/>
      <c r="E110" s="335"/>
      <c r="F110" s="335"/>
      <c r="G110" s="335"/>
      <c r="H110" s="335"/>
      <c r="I110" s="335"/>
      <c r="J110" s="335"/>
      <c r="K110" s="335"/>
      <c r="L110" s="335"/>
      <c r="M110" s="335"/>
      <c r="N110" s="335"/>
      <c r="O110" s="335"/>
      <c r="P110" s="335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35"/>
      <c r="AD110" s="335"/>
      <c r="AE110" s="335"/>
      <c r="AF110" s="335"/>
      <c r="AG110" s="335"/>
      <c r="AH110" s="335"/>
      <c r="AI110" s="335"/>
      <c r="AJ110" s="335"/>
      <c r="AK110" s="335"/>
      <c r="AL110" s="335"/>
      <c r="AM110" s="335"/>
      <c r="AN110" s="335"/>
      <c r="AO110" s="335"/>
      <c r="AP110" s="335"/>
      <c r="AQ110" s="335"/>
      <c r="AR110" s="389"/>
      <c r="AS110" s="389"/>
      <c r="AT110" s="389"/>
      <c r="AU110" s="389"/>
      <c r="AV110" s="389"/>
      <c r="AW110" s="389"/>
      <c r="AX110" s="389"/>
      <c r="AY110" s="389"/>
      <c r="AZ110" s="389"/>
      <c r="BA110" s="389"/>
      <c r="BB110" s="389"/>
      <c r="BC110" s="391"/>
      <c r="BD110" s="13"/>
      <c r="BE110" s="261"/>
      <c r="BF110" s="261"/>
      <c r="BG110" s="261"/>
      <c r="BH110" s="261"/>
      <c r="BI110" s="261"/>
      <c r="BJ110" s="261"/>
      <c r="BK110" s="261"/>
      <c r="BL110" s="261"/>
      <c r="BM110" s="261"/>
      <c r="BN110" s="261"/>
      <c r="BO110" s="261"/>
      <c r="BP110" s="261"/>
      <c r="BQ110" s="29"/>
    </row>
    <row r="111" spans="1:69" ht="7.5" customHeight="1">
      <c r="A111" s="19"/>
      <c r="B111" s="308">
        <v>1</v>
      </c>
      <c r="C111" s="499"/>
      <c r="D111" s="499"/>
      <c r="E111" s="499"/>
      <c r="F111" s="499"/>
      <c r="G111" s="499"/>
      <c r="H111" s="499"/>
      <c r="I111" s="499"/>
      <c r="J111" s="499"/>
      <c r="K111" s="499"/>
      <c r="L111" s="499"/>
      <c r="M111" s="499"/>
      <c r="N111" s="499"/>
      <c r="O111" s="499"/>
      <c r="P111" s="499"/>
      <c r="Q111" s="500"/>
      <c r="R111" s="500"/>
      <c r="S111" s="500"/>
      <c r="T111" s="299">
        <f>IF(INDEX(Таблицы!AA398:AA462,Таблицы!Y414,1)="",0,INDEX(Таблицы!AA398:AA462,Таблицы!Y414,1))</f>
        <v>0</v>
      </c>
      <c r="U111" s="299"/>
      <c r="V111" s="299"/>
      <c r="W111" s="299">
        <f>IF(AK39&lt;30,T111*3,IF(AK39&lt;126,T111*2+T111*(100-AK39)/100,T111*(AK39-100)/100))</f>
        <v>0</v>
      </c>
      <c r="X111" s="299"/>
      <c r="Y111" s="299"/>
      <c r="Z111" s="299">
        <f>IF(INDEX(Таблицы!AB398:AB462,Таблицы!Y414,1)="",0,INDEX(Таблицы!AB398:AB462,Таблицы!Y414,1))*Q111</f>
        <v>0</v>
      </c>
      <c r="AA111" s="299"/>
      <c r="AB111" s="299"/>
      <c r="AC111" s="307">
        <v>8</v>
      </c>
      <c r="AD111" s="309"/>
      <c r="AE111" s="310"/>
      <c r="AF111" s="310"/>
      <c r="AG111" s="310"/>
      <c r="AH111" s="310"/>
      <c r="AI111" s="310"/>
      <c r="AJ111" s="310"/>
      <c r="AK111" s="310"/>
      <c r="AL111" s="310"/>
      <c r="AM111" s="310"/>
      <c r="AN111" s="310"/>
      <c r="AO111" s="310"/>
      <c r="AP111" s="310"/>
      <c r="AQ111" s="311"/>
      <c r="AR111" s="315"/>
      <c r="AS111" s="316"/>
      <c r="AT111" s="317"/>
      <c r="AU111" s="299">
        <f>IF(INDEX(Таблицы!AA398:AA462,Таблицы!Y421,1)="",0,INDEX(Таблицы!AA398:AA462,Таблицы!Y421,1))</f>
        <v>0</v>
      </c>
      <c r="AV111" s="299"/>
      <c r="AW111" s="299"/>
      <c r="AX111" s="301">
        <f>IF(BL39&lt;30,AU111*3,IF(BL39&lt;126,AU111*2+AU111*(100-BL39)/100,AU111*(BL39-100)/100))</f>
        <v>0</v>
      </c>
      <c r="AY111" s="302"/>
      <c r="AZ111" s="303"/>
      <c r="BA111" s="299">
        <f>IF(INDEX(Таблицы!AB398:AB462,Таблицы!Y421,1)="",0,INDEX(Таблицы!AB398:AB462,Таблицы!Y421,1))*AR111</f>
        <v>0</v>
      </c>
      <c r="BB111" s="299"/>
      <c r="BC111" s="299"/>
      <c r="BD111" s="13"/>
      <c r="BE111" s="261"/>
      <c r="BF111" s="261"/>
      <c r="BG111" s="261"/>
      <c r="BH111" s="261"/>
      <c r="BI111" s="261"/>
      <c r="BJ111" s="261"/>
      <c r="BK111" s="261"/>
      <c r="BL111" s="261"/>
      <c r="BM111" s="261"/>
      <c r="BN111" s="261"/>
      <c r="BO111" s="261"/>
      <c r="BP111" s="261"/>
      <c r="BQ111" s="29"/>
    </row>
    <row r="112" spans="1:69" ht="7.5" customHeight="1">
      <c r="A112" s="19"/>
      <c r="B112" s="332"/>
      <c r="C112" s="333"/>
      <c r="D112" s="333"/>
      <c r="E112" s="333"/>
      <c r="F112" s="333"/>
      <c r="G112" s="333"/>
      <c r="H112" s="333"/>
      <c r="I112" s="333"/>
      <c r="J112" s="333"/>
      <c r="K112" s="333"/>
      <c r="L112" s="333"/>
      <c r="M112" s="333"/>
      <c r="N112" s="333"/>
      <c r="O112" s="333"/>
      <c r="P112" s="333"/>
      <c r="Q112" s="331"/>
      <c r="R112" s="331"/>
      <c r="S112" s="331"/>
      <c r="T112" s="300"/>
      <c r="U112" s="300"/>
      <c r="V112" s="300"/>
      <c r="W112" s="300"/>
      <c r="X112" s="300"/>
      <c r="Y112" s="300"/>
      <c r="Z112" s="300"/>
      <c r="AA112" s="300"/>
      <c r="AB112" s="300"/>
      <c r="AC112" s="307"/>
      <c r="AD112" s="309"/>
      <c r="AE112" s="310"/>
      <c r="AF112" s="310"/>
      <c r="AG112" s="310"/>
      <c r="AH112" s="310"/>
      <c r="AI112" s="310"/>
      <c r="AJ112" s="310"/>
      <c r="AK112" s="310"/>
      <c r="AL112" s="310"/>
      <c r="AM112" s="310"/>
      <c r="AN112" s="310"/>
      <c r="AO112" s="310"/>
      <c r="AP112" s="310"/>
      <c r="AQ112" s="311"/>
      <c r="AR112" s="315"/>
      <c r="AS112" s="316"/>
      <c r="AT112" s="317"/>
      <c r="AU112" s="300"/>
      <c r="AV112" s="300"/>
      <c r="AW112" s="300"/>
      <c r="AX112" s="301"/>
      <c r="AY112" s="302"/>
      <c r="AZ112" s="303"/>
      <c r="BA112" s="300"/>
      <c r="BB112" s="300"/>
      <c r="BC112" s="300"/>
      <c r="BD112" s="13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29"/>
    </row>
    <row r="113" spans="1:69" ht="7.5" customHeight="1" thickBot="1">
      <c r="A113" s="19"/>
      <c r="B113" s="332"/>
      <c r="C113" s="333"/>
      <c r="D113" s="333"/>
      <c r="E113" s="333"/>
      <c r="F113" s="333"/>
      <c r="G113" s="333"/>
      <c r="H113" s="333"/>
      <c r="I113" s="333"/>
      <c r="J113" s="333"/>
      <c r="K113" s="333"/>
      <c r="L113" s="333"/>
      <c r="M113" s="333"/>
      <c r="N113" s="333"/>
      <c r="O113" s="333"/>
      <c r="P113" s="333"/>
      <c r="Q113" s="331"/>
      <c r="R113" s="331"/>
      <c r="S113" s="331"/>
      <c r="T113" s="300"/>
      <c r="U113" s="300"/>
      <c r="V113" s="300"/>
      <c r="W113" s="300"/>
      <c r="X113" s="300"/>
      <c r="Y113" s="300"/>
      <c r="Z113" s="300"/>
      <c r="AA113" s="300"/>
      <c r="AB113" s="300"/>
      <c r="AC113" s="308"/>
      <c r="AD113" s="312"/>
      <c r="AE113" s="313"/>
      <c r="AF113" s="313"/>
      <c r="AG113" s="313"/>
      <c r="AH113" s="313"/>
      <c r="AI113" s="313"/>
      <c r="AJ113" s="313"/>
      <c r="AK113" s="313"/>
      <c r="AL113" s="313"/>
      <c r="AM113" s="313"/>
      <c r="AN113" s="313"/>
      <c r="AO113" s="313"/>
      <c r="AP113" s="313"/>
      <c r="AQ113" s="314"/>
      <c r="AR113" s="318"/>
      <c r="AS113" s="319"/>
      <c r="AT113" s="320"/>
      <c r="AU113" s="300"/>
      <c r="AV113" s="300"/>
      <c r="AW113" s="300"/>
      <c r="AX113" s="304"/>
      <c r="AY113" s="305"/>
      <c r="AZ113" s="306"/>
      <c r="BA113" s="300"/>
      <c r="BB113" s="300"/>
      <c r="BC113" s="300"/>
      <c r="BD113" s="13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29"/>
    </row>
    <row r="114" spans="1:69" ht="7.5" customHeight="1">
      <c r="A114" s="19"/>
      <c r="B114" s="332">
        <v>2</v>
      </c>
      <c r="C114" s="333"/>
      <c r="D114" s="333"/>
      <c r="E114" s="333"/>
      <c r="F114" s="333"/>
      <c r="G114" s="333"/>
      <c r="H114" s="333"/>
      <c r="I114" s="333"/>
      <c r="J114" s="333"/>
      <c r="K114" s="333"/>
      <c r="L114" s="333"/>
      <c r="M114" s="333"/>
      <c r="N114" s="333"/>
      <c r="O114" s="333"/>
      <c r="P114" s="333"/>
      <c r="Q114" s="331"/>
      <c r="R114" s="331"/>
      <c r="S114" s="331"/>
      <c r="T114" s="299">
        <f>IF(INDEX(Таблицы!AA398:AA462,Таблицы!Y415,1)="",0,INDEX(Таблицы!AA398:AA462,Таблицы!Y415,1))</f>
        <v>0</v>
      </c>
      <c r="U114" s="299"/>
      <c r="V114" s="299"/>
      <c r="W114" s="300">
        <f>IF(AK39&lt;30,T114*3,IF(AK39&lt;126,T114*2+T114*(100-AK39)/100,T114*(AK39-100)/100))</f>
        <v>0</v>
      </c>
      <c r="X114" s="300"/>
      <c r="Y114" s="300"/>
      <c r="Z114" s="299">
        <f>IF(INDEX(Таблицы!AB398:AB462,Таблицы!Y415,1)="",0,INDEX(Таблицы!AB398:AB462,Таблицы!Y415,1))*Q114</f>
        <v>0</v>
      </c>
      <c r="AA114" s="299"/>
      <c r="AB114" s="299"/>
      <c r="AC114" s="273">
        <v>9</v>
      </c>
      <c r="AD114" s="272"/>
      <c r="AE114" s="272"/>
      <c r="AF114" s="272"/>
      <c r="AG114" s="272"/>
      <c r="AH114" s="272"/>
      <c r="AI114" s="272"/>
      <c r="AJ114" s="272"/>
      <c r="AK114" s="272"/>
      <c r="AL114" s="272"/>
      <c r="AM114" s="272"/>
      <c r="AN114" s="272"/>
      <c r="AO114" s="272"/>
      <c r="AP114" s="272"/>
      <c r="AQ114" s="272"/>
      <c r="AR114" s="274"/>
      <c r="AS114" s="274"/>
      <c r="AT114" s="274"/>
      <c r="AU114" s="274"/>
      <c r="AV114" s="274"/>
      <c r="AW114" s="274"/>
      <c r="AX114" s="298">
        <f>IF(BL39&lt;30,AU114*3,IF(BL39&lt;126,AU114*2+AU114*(100-BL39)/100,AU114*(BL39-100)/100))</f>
        <v>0</v>
      </c>
      <c r="AY114" s="298"/>
      <c r="AZ114" s="298"/>
      <c r="BA114" s="274"/>
      <c r="BB114" s="274"/>
      <c r="BC114" s="274"/>
      <c r="BD114" s="13"/>
      <c r="BE114" s="321" t="s">
        <v>326</v>
      </c>
      <c r="BF114" s="322"/>
      <c r="BG114" s="322"/>
      <c r="BH114" s="322"/>
      <c r="BI114" s="322"/>
      <c r="BJ114" s="322"/>
      <c r="BK114" s="322"/>
      <c r="BL114" s="322"/>
      <c r="BM114" s="322"/>
      <c r="BN114" s="322"/>
      <c r="BO114" s="322"/>
      <c r="BP114" s="323"/>
      <c r="BQ114" s="29"/>
    </row>
    <row r="115" spans="1:69" ht="7.5" customHeight="1" thickBot="1">
      <c r="A115" s="19"/>
      <c r="B115" s="332"/>
      <c r="C115" s="333"/>
      <c r="D115" s="333"/>
      <c r="E115" s="333"/>
      <c r="F115" s="333"/>
      <c r="G115" s="333"/>
      <c r="H115" s="333"/>
      <c r="I115" s="333"/>
      <c r="J115" s="333"/>
      <c r="K115" s="333"/>
      <c r="L115" s="333"/>
      <c r="M115" s="333"/>
      <c r="N115" s="333"/>
      <c r="O115" s="333"/>
      <c r="P115" s="333"/>
      <c r="Q115" s="331"/>
      <c r="R115" s="331"/>
      <c r="S115" s="331"/>
      <c r="T115" s="300"/>
      <c r="U115" s="300"/>
      <c r="V115" s="300"/>
      <c r="W115" s="300"/>
      <c r="X115" s="300"/>
      <c r="Y115" s="300"/>
      <c r="Z115" s="300"/>
      <c r="AA115" s="300"/>
      <c r="AB115" s="300"/>
      <c r="AC115" s="273"/>
      <c r="AD115" s="272"/>
      <c r="AE115" s="272"/>
      <c r="AF115" s="272"/>
      <c r="AG115" s="272"/>
      <c r="AH115" s="272"/>
      <c r="AI115" s="272"/>
      <c r="AJ115" s="272"/>
      <c r="AK115" s="272"/>
      <c r="AL115" s="272"/>
      <c r="AM115" s="272"/>
      <c r="AN115" s="272"/>
      <c r="AO115" s="272"/>
      <c r="AP115" s="272"/>
      <c r="AQ115" s="272"/>
      <c r="AR115" s="274"/>
      <c r="AS115" s="274"/>
      <c r="AT115" s="274"/>
      <c r="AU115" s="274"/>
      <c r="AV115" s="274"/>
      <c r="AW115" s="274"/>
      <c r="AX115" s="298"/>
      <c r="AY115" s="298"/>
      <c r="AZ115" s="298"/>
      <c r="BA115" s="274"/>
      <c r="BB115" s="274"/>
      <c r="BC115" s="274"/>
      <c r="BD115" s="13"/>
      <c r="BE115" s="324"/>
      <c r="BF115" s="325"/>
      <c r="BG115" s="325"/>
      <c r="BH115" s="325"/>
      <c r="BI115" s="325"/>
      <c r="BJ115" s="325"/>
      <c r="BK115" s="325"/>
      <c r="BL115" s="325"/>
      <c r="BM115" s="325"/>
      <c r="BN115" s="325"/>
      <c r="BO115" s="325"/>
      <c r="BP115" s="326"/>
      <c r="BQ115" s="29"/>
    </row>
    <row r="116" spans="1:69" ht="7.5" customHeight="1">
      <c r="A116" s="19"/>
      <c r="B116" s="332"/>
      <c r="C116" s="333"/>
      <c r="D116" s="333"/>
      <c r="E116" s="333"/>
      <c r="F116" s="333"/>
      <c r="G116" s="333"/>
      <c r="H116" s="333"/>
      <c r="I116" s="333"/>
      <c r="J116" s="333"/>
      <c r="K116" s="333"/>
      <c r="L116" s="333"/>
      <c r="M116" s="333"/>
      <c r="N116" s="333"/>
      <c r="O116" s="333"/>
      <c r="P116" s="333"/>
      <c r="Q116" s="331"/>
      <c r="R116" s="331"/>
      <c r="S116" s="331"/>
      <c r="T116" s="300"/>
      <c r="U116" s="300"/>
      <c r="V116" s="300"/>
      <c r="W116" s="300"/>
      <c r="X116" s="300"/>
      <c r="Y116" s="300"/>
      <c r="Z116" s="300"/>
      <c r="AA116" s="300"/>
      <c r="AB116" s="300"/>
      <c r="AC116" s="273">
        <v>10</v>
      </c>
      <c r="AD116" s="272"/>
      <c r="AE116" s="272"/>
      <c r="AF116" s="272"/>
      <c r="AG116" s="272"/>
      <c r="AH116" s="272"/>
      <c r="AI116" s="272"/>
      <c r="AJ116" s="272"/>
      <c r="AK116" s="272"/>
      <c r="AL116" s="272"/>
      <c r="AM116" s="272"/>
      <c r="AN116" s="272"/>
      <c r="AO116" s="272"/>
      <c r="AP116" s="272"/>
      <c r="AQ116" s="272"/>
      <c r="AR116" s="274"/>
      <c r="AS116" s="274"/>
      <c r="AT116" s="274"/>
      <c r="AU116" s="274"/>
      <c r="AV116" s="274"/>
      <c r="AW116" s="274"/>
      <c r="AX116" s="298">
        <f>IF(BL39&lt;30,AU116*3,IF(BL39&lt;126,AU116*2+AU116*(100-BL39)/100,AU116*(BL39-100)/100))</f>
        <v>0</v>
      </c>
      <c r="AY116" s="298"/>
      <c r="AZ116" s="298"/>
      <c r="BA116" s="274"/>
      <c r="BB116" s="274"/>
      <c r="BC116" s="274"/>
      <c r="BD116" s="13"/>
      <c r="BE116" s="261"/>
      <c r="BF116" s="261"/>
      <c r="BG116" s="261"/>
      <c r="BH116" s="261"/>
      <c r="BI116" s="261"/>
      <c r="BJ116" s="261"/>
      <c r="BK116" s="261"/>
      <c r="BL116" s="261"/>
      <c r="BM116" s="261"/>
      <c r="BN116" s="261"/>
      <c r="BO116" s="261"/>
      <c r="BP116" s="261"/>
      <c r="BQ116" s="29"/>
    </row>
    <row r="117" spans="1:69" ht="7.5" customHeight="1">
      <c r="A117" s="19"/>
      <c r="B117" s="332">
        <v>3</v>
      </c>
      <c r="C117" s="333"/>
      <c r="D117" s="333"/>
      <c r="E117" s="333"/>
      <c r="F117" s="333"/>
      <c r="G117" s="333"/>
      <c r="H117" s="333"/>
      <c r="I117" s="333"/>
      <c r="J117" s="333"/>
      <c r="K117" s="333"/>
      <c r="L117" s="333"/>
      <c r="M117" s="333"/>
      <c r="N117" s="333"/>
      <c r="O117" s="333"/>
      <c r="P117" s="333"/>
      <c r="Q117" s="331"/>
      <c r="R117" s="331"/>
      <c r="S117" s="331"/>
      <c r="T117" s="299">
        <f>IF(INDEX(Таблицы!AA398:AA462,Таблицы!Y416,1)="",0,INDEX(Таблицы!AA398:AA462,Таблицы!Y416,1))</f>
        <v>0</v>
      </c>
      <c r="U117" s="299"/>
      <c r="V117" s="299"/>
      <c r="W117" s="300">
        <f>IF(AK39&lt;30,T117*3,IF(AK39&lt;126,T117*2+T117*(100-AK39)/100,T117*(AK39-100)/100))</f>
        <v>0</v>
      </c>
      <c r="X117" s="300"/>
      <c r="Y117" s="300"/>
      <c r="Z117" s="299">
        <f>IF(INDEX(Таблицы!AB398:AB462,Таблицы!Y416,1)="",0,INDEX(Таблицы!AB398:AB462,Таблицы!Y416,1))*Q117</f>
        <v>0</v>
      </c>
      <c r="AA117" s="299"/>
      <c r="AB117" s="299"/>
      <c r="AC117" s="273"/>
      <c r="AD117" s="272"/>
      <c r="AE117" s="272"/>
      <c r="AF117" s="272"/>
      <c r="AG117" s="272"/>
      <c r="AH117" s="272"/>
      <c r="AI117" s="272"/>
      <c r="AJ117" s="272"/>
      <c r="AK117" s="272"/>
      <c r="AL117" s="272"/>
      <c r="AM117" s="272"/>
      <c r="AN117" s="272"/>
      <c r="AO117" s="272"/>
      <c r="AP117" s="272"/>
      <c r="AQ117" s="272"/>
      <c r="AR117" s="274"/>
      <c r="AS117" s="274"/>
      <c r="AT117" s="274"/>
      <c r="AU117" s="274"/>
      <c r="AV117" s="274"/>
      <c r="AW117" s="274"/>
      <c r="AX117" s="298"/>
      <c r="AY117" s="298"/>
      <c r="AZ117" s="298"/>
      <c r="BA117" s="274"/>
      <c r="BB117" s="274"/>
      <c r="BC117" s="274"/>
      <c r="BD117" s="13"/>
      <c r="BE117" s="261"/>
      <c r="BF117" s="261"/>
      <c r="BG117" s="261"/>
      <c r="BH117" s="261"/>
      <c r="BI117" s="261"/>
      <c r="BJ117" s="261"/>
      <c r="BK117" s="261"/>
      <c r="BL117" s="261"/>
      <c r="BM117" s="261"/>
      <c r="BN117" s="261"/>
      <c r="BO117" s="261"/>
      <c r="BP117" s="261"/>
      <c r="BQ117" s="29"/>
    </row>
    <row r="118" spans="1:69" ht="7.5" customHeight="1">
      <c r="A118" s="19"/>
      <c r="B118" s="332"/>
      <c r="C118" s="333"/>
      <c r="D118" s="333"/>
      <c r="E118" s="333"/>
      <c r="F118" s="333"/>
      <c r="G118" s="333"/>
      <c r="H118" s="333"/>
      <c r="I118" s="333"/>
      <c r="J118" s="333"/>
      <c r="K118" s="333"/>
      <c r="L118" s="333"/>
      <c r="M118" s="333"/>
      <c r="N118" s="333"/>
      <c r="O118" s="333"/>
      <c r="P118" s="333"/>
      <c r="Q118" s="331"/>
      <c r="R118" s="331"/>
      <c r="S118" s="331"/>
      <c r="T118" s="300"/>
      <c r="U118" s="300"/>
      <c r="V118" s="300"/>
      <c r="W118" s="300"/>
      <c r="X118" s="300"/>
      <c r="Y118" s="300"/>
      <c r="Z118" s="300"/>
      <c r="AA118" s="300"/>
      <c r="AB118" s="300"/>
      <c r="AC118" s="273">
        <v>11</v>
      </c>
      <c r="AD118" s="272"/>
      <c r="AE118" s="272"/>
      <c r="AF118" s="272"/>
      <c r="AG118" s="272"/>
      <c r="AH118" s="272"/>
      <c r="AI118" s="272"/>
      <c r="AJ118" s="272"/>
      <c r="AK118" s="272"/>
      <c r="AL118" s="272"/>
      <c r="AM118" s="272"/>
      <c r="AN118" s="272"/>
      <c r="AO118" s="272"/>
      <c r="AP118" s="272"/>
      <c r="AQ118" s="272"/>
      <c r="AR118" s="274"/>
      <c r="AS118" s="274"/>
      <c r="AT118" s="274"/>
      <c r="AU118" s="274"/>
      <c r="AV118" s="274"/>
      <c r="AW118" s="274"/>
      <c r="AX118" s="298">
        <f>IF(BL39&lt;30,AU118*3,IF(BL39&lt;126,AU118*2+AU118*(100-BL39)/100,AU118*(BL39-100)/100))</f>
        <v>0</v>
      </c>
      <c r="AY118" s="298"/>
      <c r="AZ118" s="298"/>
      <c r="BA118" s="274"/>
      <c r="BB118" s="274"/>
      <c r="BC118" s="274"/>
      <c r="BD118" s="13"/>
      <c r="BE118" s="261"/>
      <c r="BF118" s="261"/>
      <c r="BG118" s="261"/>
      <c r="BH118" s="261"/>
      <c r="BI118" s="261"/>
      <c r="BJ118" s="261"/>
      <c r="BK118" s="261"/>
      <c r="BL118" s="261"/>
      <c r="BM118" s="261"/>
      <c r="BN118" s="261"/>
      <c r="BO118" s="261"/>
      <c r="BP118" s="261"/>
      <c r="BQ118" s="29"/>
    </row>
    <row r="119" spans="1:69" ht="7.5" customHeight="1">
      <c r="A119" s="19"/>
      <c r="B119" s="332"/>
      <c r="C119" s="333"/>
      <c r="D119" s="333"/>
      <c r="E119" s="333"/>
      <c r="F119" s="333"/>
      <c r="G119" s="333"/>
      <c r="H119" s="333"/>
      <c r="I119" s="333"/>
      <c r="J119" s="333"/>
      <c r="K119" s="333"/>
      <c r="L119" s="333"/>
      <c r="M119" s="333"/>
      <c r="N119" s="333"/>
      <c r="O119" s="333"/>
      <c r="P119" s="333"/>
      <c r="Q119" s="331"/>
      <c r="R119" s="331"/>
      <c r="S119" s="331"/>
      <c r="T119" s="300"/>
      <c r="U119" s="300"/>
      <c r="V119" s="300"/>
      <c r="W119" s="300"/>
      <c r="X119" s="300"/>
      <c r="Y119" s="300"/>
      <c r="Z119" s="300"/>
      <c r="AA119" s="300"/>
      <c r="AB119" s="300"/>
      <c r="AC119" s="273"/>
      <c r="AD119" s="272"/>
      <c r="AE119" s="272"/>
      <c r="AF119" s="272"/>
      <c r="AG119" s="272"/>
      <c r="AH119" s="272"/>
      <c r="AI119" s="272"/>
      <c r="AJ119" s="272"/>
      <c r="AK119" s="272"/>
      <c r="AL119" s="272"/>
      <c r="AM119" s="272"/>
      <c r="AN119" s="272"/>
      <c r="AO119" s="272"/>
      <c r="AP119" s="272"/>
      <c r="AQ119" s="272"/>
      <c r="AR119" s="274"/>
      <c r="AS119" s="274"/>
      <c r="AT119" s="274"/>
      <c r="AU119" s="274"/>
      <c r="AV119" s="274"/>
      <c r="AW119" s="274"/>
      <c r="AX119" s="298"/>
      <c r="AY119" s="298"/>
      <c r="AZ119" s="298"/>
      <c r="BA119" s="274"/>
      <c r="BB119" s="274"/>
      <c r="BC119" s="274"/>
      <c r="BD119" s="13"/>
      <c r="BE119" s="261"/>
      <c r="BF119" s="261"/>
      <c r="BG119" s="261"/>
      <c r="BH119" s="261"/>
      <c r="BI119" s="261"/>
      <c r="BJ119" s="261"/>
      <c r="BK119" s="261"/>
      <c r="BL119" s="261"/>
      <c r="BM119" s="261"/>
      <c r="BN119" s="261"/>
      <c r="BO119" s="261"/>
      <c r="BP119" s="261"/>
      <c r="BQ119" s="29"/>
    </row>
    <row r="120" spans="1:69" ht="7.5" customHeight="1">
      <c r="A120" s="19"/>
      <c r="B120" s="332">
        <v>4</v>
      </c>
      <c r="C120" s="333"/>
      <c r="D120" s="333"/>
      <c r="E120" s="333"/>
      <c r="F120" s="333"/>
      <c r="G120" s="333"/>
      <c r="H120" s="333"/>
      <c r="I120" s="333"/>
      <c r="J120" s="333"/>
      <c r="K120" s="333"/>
      <c r="L120" s="333"/>
      <c r="M120" s="333"/>
      <c r="N120" s="333"/>
      <c r="O120" s="333"/>
      <c r="P120" s="333"/>
      <c r="Q120" s="331"/>
      <c r="R120" s="331"/>
      <c r="S120" s="331"/>
      <c r="T120" s="299">
        <f>IF(INDEX(Таблицы!AA398:AA462,Таблицы!Y417,1)="",0,INDEX(Таблицы!AA398:AA462,Таблицы!Y417,1))</f>
        <v>0</v>
      </c>
      <c r="U120" s="299"/>
      <c r="V120" s="299"/>
      <c r="W120" s="300">
        <f>IF(AK39&lt;30,T120*3,IF(AK39&lt;126,T120*2+T120*(100-AK39)/100,T120*(AK39-100)/100))</f>
        <v>0</v>
      </c>
      <c r="X120" s="300"/>
      <c r="Y120" s="300"/>
      <c r="Z120" s="299">
        <f>IF(INDEX(Таблицы!AB398:AB462,Таблицы!Y417,1)="",0,INDEX(Таблицы!AB398:AB462,Таблицы!Y417,1))*Q120</f>
        <v>0</v>
      </c>
      <c r="AA120" s="299"/>
      <c r="AB120" s="299"/>
      <c r="AC120" s="273">
        <v>12</v>
      </c>
      <c r="AD120" s="272"/>
      <c r="AE120" s="272"/>
      <c r="AF120" s="272"/>
      <c r="AG120" s="272"/>
      <c r="AH120" s="272"/>
      <c r="AI120" s="272"/>
      <c r="AJ120" s="272"/>
      <c r="AK120" s="272"/>
      <c r="AL120" s="272"/>
      <c r="AM120" s="272"/>
      <c r="AN120" s="272"/>
      <c r="AO120" s="272"/>
      <c r="AP120" s="272"/>
      <c r="AQ120" s="272"/>
      <c r="AR120" s="274"/>
      <c r="AS120" s="274"/>
      <c r="AT120" s="274"/>
      <c r="AU120" s="274"/>
      <c r="AV120" s="274"/>
      <c r="AW120" s="274"/>
      <c r="AX120" s="298">
        <f>IF(BL39&lt;30,AU120*3,IF(BL39&lt;126,AU120*2+AU120*(100-BL39)/100,AU120*(BL39-100)/100))</f>
        <v>0</v>
      </c>
      <c r="AY120" s="298"/>
      <c r="AZ120" s="298"/>
      <c r="BA120" s="274"/>
      <c r="BB120" s="274"/>
      <c r="BC120" s="274"/>
      <c r="BD120" s="13"/>
      <c r="BE120" s="261"/>
      <c r="BF120" s="261"/>
      <c r="BG120" s="261"/>
      <c r="BH120" s="261"/>
      <c r="BI120" s="261"/>
      <c r="BJ120" s="261"/>
      <c r="BK120" s="261"/>
      <c r="BL120" s="261"/>
      <c r="BM120" s="261"/>
      <c r="BN120" s="261"/>
      <c r="BO120" s="261"/>
      <c r="BP120" s="261"/>
      <c r="BQ120" s="29"/>
    </row>
    <row r="121" spans="1:69" ht="7.5" customHeight="1">
      <c r="A121" s="19"/>
      <c r="B121" s="332"/>
      <c r="C121" s="333"/>
      <c r="D121" s="333"/>
      <c r="E121" s="333"/>
      <c r="F121" s="333"/>
      <c r="G121" s="333"/>
      <c r="H121" s="333"/>
      <c r="I121" s="333"/>
      <c r="J121" s="333"/>
      <c r="K121" s="333"/>
      <c r="L121" s="333"/>
      <c r="M121" s="333"/>
      <c r="N121" s="333"/>
      <c r="O121" s="333"/>
      <c r="P121" s="333"/>
      <c r="Q121" s="331"/>
      <c r="R121" s="331"/>
      <c r="S121" s="331"/>
      <c r="T121" s="300"/>
      <c r="U121" s="300"/>
      <c r="V121" s="300"/>
      <c r="W121" s="300"/>
      <c r="X121" s="300"/>
      <c r="Y121" s="300"/>
      <c r="Z121" s="300"/>
      <c r="AA121" s="300"/>
      <c r="AB121" s="300"/>
      <c r="AC121" s="273"/>
      <c r="AD121" s="272"/>
      <c r="AE121" s="272"/>
      <c r="AF121" s="272"/>
      <c r="AG121" s="272"/>
      <c r="AH121" s="272"/>
      <c r="AI121" s="272"/>
      <c r="AJ121" s="272"/>
      <c r="AK121" s="272"/>
      <c r="AL121" s="272"/>
      <c r="AM121" s="272"/>
      <c r="AN121" s="272"/>
      <c r="AO121" s="272"/>
      <c r="AP121" s="272"/>
      <c r="AQ121" s="272"/>
      <c r="AR121" s="274"/>
      <c r="AS121" s="274"/>
      <c r="AT121" s="274"/>
      <c r="AU121" s="274"/>
      <c r="AV121" s="274"/>
      <c r="AW121" s="274"/>
      <c r="AX121" s="298"/>
      <c r="AY121" s="298"/>
      <c r="AZ121" s="298"/>
      <c r="BA121" s="274"/>
      <c r="BB121" s="274"/>
      <c r="BC121" s="274"/>
      <c r="BD121" s="13"/>
      <c r="BE121" s="261"/>
      <c r="BF121" s="261"/>
      <c r="BG121" s="261"/>
      <c r="BH121" s="261"/>
      <c r="BI121" s="261"/>
      <c r="BJ121" s="261"/>
      <c r="BK121" s="261"/>
      <c r="BL121" s="261"/>
      <c r="BM121" s="261"/>
      <c r="BN121" s="261"/>
      <c r="BO121" s="261"/>
      <c r="BP121" s="261"/>
      <c r="BQ121" s="29"/>
    </row>
    <row r="122" spans="1:69" ht="7.5" customHeight="1">
      <c r="A122" s="19"/>
      <c r="B122" s="332"/>
      <c r="C122" s="333"/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1"/>
      <c r="R122" s="331"/>
      <c r="S122" s="331"/>
      <c r="T122" s="300"/>
      <c r="U122" s="300"/>
      <c r="V122" s="300"/>
      <c r="W122" s="300"/>
      <c r="X122" s="300"/>
      <c r="Y122" s="300"/>
      <c r="Z122" s="300"/>
      <c r="AA122" s="300"/>
      <c r="AB122" s="300"/>
      <c r="AC122" s="273">
        <v>13</v>
      </c>
      <c r="AD122" s="272"/>
      <c r="AE122" s="272"/>
      <c r="AF122" s="272"/>
      <c r="AG122" s="272"/>
      <c r="AH122" s="272"/>
      <c r="AI122" s="272"/>
      <c r="AJ122" s="272"/>
      <c r="AK122" s="272"/>
      <c r="AL122" s="272"/>
      <c r="AM122" s="272"/>
      <c r="AN122" s="272"/>
      <c r="AO122" s="272"/>
      <c r="AP122" s="272"/>
      <c r="AQ122" s="272"/>
      <c r="AR122" s="274"/>
      <c r="AS122" s="274"/>
      <c r="AT122" s="274"/>
      <c r="AU122" s="274"/>
      <c r="AV122" s="274"/>
      <c r="AW122" s="274"/>
      <c r="AX122" s="298">
        <f>IF(BL39&lt;30,AU122*3,IF(BL39&lt;126,AU122*2+AU122*(100-BL39)/100,AU122*(BL39-100)/100))</f>
        <v>0</v>
      </c>
      <c r="AY122" s="298"/>
      <c r="AZ122" s="298"/>
      <c r="BA122" s="274"/>
      <c r="BB122" s="274"/>
      <c r="BC122" s="274"/>
      <c r="BD122" s="13"/>
      <c r="BE122" s="261"/>
      <c r="BF122" s="261"/>
      <c r="BG122" s="261"/>
      <c r="BH122" s="261"/>
      <c r="BI122" s="261"/>
      <c r="BJ122" s="261"/>
      <c r="BK122" s="261"/>
      <c r="BL122" s="261"/>
      <c r="BM122" s="261"/>
      <c r="BN122" s="261"/>
      <c r="BO122" s="261"/>
      <c r="BP122" s="261"/>
      <c r="BQ122" s="29"/>
    </row>
    <row r="123" spans="1:69" ht="7.5" customHeight="1">
      <c r="A123" s="19"/>
      <c r="B123" s="332">
        <v>5</v>
      </c>
      <c r="C123" s="333"/>
      <c r="D123" s="333"/>
      <c r="E123" s="333"/>
      <c r="F123" s="333"/>
      <c r="G123" s="333"/>
      <c r="H123" s="333"/>
      <c r="I123" s="333"/>
      <c r="J123" s="333"/>
      <c r="K123" s="333"/>
      <c r="L123" s="333"/>
      <c r="M123" s="333"/>
      <c r="N123" s="333"/>
      <c r="O123" s="333"/>
      <c r="P123" s="333"/>
      <c r="Q123" s="331"/>
      <c r="R123" s="331"/>
      <c r="S123" s="331"/>
      <c r="T123" s="299">
        <f>IF(INDEX(Таблицы!AA398:AA462,Таблицы!Y418,1)="",0,INDEX(Таблицы!AA398:AA462,Таблицы!Y418,1))</f>
        <v>0</v>
      </c>
      <c r="U123" s="299"/>
      <c r="V123" s="299"/>
      <c r="W123" s="300">
        <f>IF(AK39&lt;30,T123*3,IF(AK39&lt;126,T123*2+T123*(100-AK39)/100,T123*(AK39-100)/100))</f>
        <v>0</v>
      </c>
      <c r="X123" s="300"/>
      <c r="Y123" s="300"/>
      <c r="Z123" s="299">
        <f>IF(INDEX(Таблицы!AB398:AB462,Таблицы!Y418,1)="",0,INDEX(Таблицы!AB398:AB462,Таблицы!Y418,1))*Q123</f>
        <v>0</v>
      </c>
      <c r="AA123" s="299"/>
      <c r="AB123" s="299"/>
      <c r="AC123" s="273"/>
      <c r="AD123" s="272"/>
      <c r="AE123" s="272"/>
      <c r="AF123" s="272"/>
      <c r="AG123" s="272"/>
      <c r="AH123" s="272"/>
      <c r="AI123" s="272"/>
      <c r="AJ123" s="272"/>
      <c r="AK123" s="272"/>
      <c r="AL123" s="272"/>
      <c r="AM123" s="272"/>
      <c r="AN123" s="272"/>
      <c r="AO123" s="272"/>
      <c r="AP123" s="272"/>
      <c r="AQ123" s="272"/>
      <c r="AR123" s="274"/>
      <c r="AS123" s="274"/>
      <c r="AT123" s="274"/>
      <c r="AU123" s="274"/>
      <c r="AV123" s="274"/>
      <c r="AW123" s="274"/>
      <c r="AX123" s="298"/>
      <c r="AY123" s="298"/>
      <c r="AZ123" s="298"/>
      <c r="BA123" s="274"/>
      <c r="BB123" s="274"/>
      <c r="BC123" s="274"/>
      <c r="BD123" s="13"/>
      <c r="BE123" s="261"/>
      <c r="BF123" s="261"/>
      <c r="BG123" s="261"/>
      <c r="BH123" s="261"/>
      <c r="BI123" s="261"/>
      <c r="BJ123" s="261"/>
      <c r="BK123" s="261"/>
      <c r="BL123" s="261"/>
      <c r="BM123" s="261"/>
      <c r="BN123" s="261"/>
      <c r="BO123" s="261"/>
      <c r="BP123" s="261"/>
      <c r="BQ123" s="29"/>
    </row>
    <row r="124" spans="1:69" ht="7.5" customHeight="1">
      <c r="A124" s="19"/>
      <c r="B124" s="332"/>
      <c r="C124" s="333"/>
      <c r="D124" s="333"/>
      <c r="E124" s="333"/>
      <c r="F124" s="333"/>
      <c r="G124" s="333"/>
      <c r="H124" s="333"/>
      <c r="I124" s="333"/>
      <c r="J124" s="333"/>
      <c r="K124" s="333"/>
      <c r="L124" s="333"/>
      <c r="M124" s="333"/>
      <c r="N124" s="333"/>
      <c r="O124" s="333"/>
      <c r="P124" s="333"/>
      <c r="Q124" s="331"/>
      <c r="R124" s="331"/>
      <c r="S124" s="331"/>
      <c r="T124" s="300"/>
      <c r="U124" s="300"/>
      <c r="V124" s="300"/>
      <c r="W124" s="300"/>
      <c r="X124" s="300"/>
      <c r="Y124" s="300"/>
      <c r="Z124" s="300"/>
      <c r="AA124" s="300"/>
      <c r="AB124" s="300"/>
      <c r="AC124" s="273">
        <v>14</v>
      </c>
      <c r="AD124" s="272"/>
      <c r="AE124" s="272"/>
      <c r="AF124" s="272"/>
      <c r="AG124" s="272"/>
      <c r="AH124" s="272"/>
      <c r="AI124" s="272"/>
      <c r="AJ124" s="272"/>
      <c r="AK124" s="272"/>
      <c r="AL124" s="272"/>
      <c r="AM124" s="272"/>
      <c r="AN124" s="272"/>
      <c r="AO124" s="272"/>
      <c r="AP124" s="272"/>
      <c r="AQ124" s="272"/>
      <c r="AR124" s="274"/>
      <c r="AS124" s="274"/>
      <c r="AT124" s="274"/>
      <c r="AU124" s="274"/>
      <c r="AV124" s="274"/>
      <c r="AW124" s="274"/>
      <c r="AX124" s="298">
        <f>IF(BL39&lt;30,AU124*3,IF(BL39&lt;126,AU124*2+AU124*(100-BL39)/100,AU124*(BL39-100)/100))</f>
        <v>0</v>
      </c>
      <c r="AY124" s="298"/>
      <c r="AZ124" s="298"/>
      <c r="BA124" s="274"/>
      <c r="BB124" s="274"/>
      <c r="BC124" s="274"/>
      <c r="BD124" s="13"/>
      <c r="BE124" s="261"/>
      <c r="BF124" s="261"/>
      <c r="BG124" s="261"/>
      <c r="BH124" s="261"/>
      <c r="BI124" s="261"/>
      <c r="BJ124" s="261"/>
      <c r="BK124" s="261"/>
      <c r="BL124" s="261"/>
      <c r="BM124" s="261"/>
      <c r="BN124" s="261"/>
      <c r="BO124" s="261"/>
      <c r="BP124" s="261"/>
      <c r="BQ124" s="29"/>
    </row>
    <row r="125" spans="1:69" ht="7.5" customHeight="1">
      <c r="A125" s="19"/>
      <c r="B125" s="332"/>
      <c r="C125" s="333"/>
      <c r="D125" s="333"/>
      <c r="E125" s="333"/>
      <c r="F125" s="333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1"/>
      <c r="R125" s="331"/>
      <c r="S125" s="331"/>
      <c r="T125" s="300"/>
      <c r="U125" s="300"/>
      <c r="V125" s="300"/>
      <c r="W125" s="300"/>
      <c r="X125" s="300"/>
      <c r="Y125" s="300"/>
      <c r="Z125" s="300"/>
      <c r="AA125" s="300"/>
      <c r="AB125" s="300"/>
      <c r="AC125" s="273"/>
      <c r="AD125" s="272"/>
      <c r="AE125" s="272"/>
      <c r="AF125" s="272"/>
      <c r="AG125" s="272"/>
      <c r="AH125" s="272"/>
      <c r="AI125" s="272"/>
      <c r="AJ125" s="272"/>
      <c r="AK125" s="272"/>
      <c r="AL125" s="272"/>
      <c r="AM125" s="272"/>
      <c r="AN125" s="272"/>
      <c r="AO125" s="272"/>
      <c r="AP125" s="272"/>
      <c r="AQ125" s="272"/>
      <c r="AR125" s="274"/>
      <c r="AS125" s="274"/>
      <c r="AT125" s="274"/>
      <c r="AU125" s="274"/>
      <c r="AV125" s="274"/>
      <c r="AW125" s="274"/>
      <c r="AX125" s="298"/>
      <c r="AY125" s="298"/>
      <c r="AZ125" s="298"/>
      <c r="BA125" s="274"/>
      <c r="BB125" s="274"/>
      <c r="BC125" s="274"/>
      <c r="BD125" s="13"/>
      <c r="BE125" s="261"/>
      <c r="BF125" s="261"/>
      <c r="BG125" s="261"/>
      <c r="BH125" s="261"/>
      <c r="BI125" s="261"/>
      <c r="BJ125" s="261"/>
      <c r="BK125" s="261"/>
      <c r="BL125" s="261"/>
      <c r="BM125" s="261"/>
      <c r="BN125" s="261"/>
      <c r="BO125" s="261"/>
      <c r="BP125" s="261"/>
      <c r="BQ125" s="29"/>
    </row>
    <row r="126" spans="1:69" ht="7.5" customHeight="1">
      <c r="A126" s="19"/>
      <c r="B126" s="332">
        <v>6</v>
      </c>
      <c r="C126" s="333"/>
      <c r="D126" s="333"/>
      <c r="E126" s="333"/>
      <c r="F126" s="333"/>
      <c r="G126" s="333"/>
      <c r="H126" s="333"/>
      <c r="I126" s="333"/>
      <c r="J126" s="333"/>
      <c r="K126" s="333"/>
      <c r="L126" s="333"/>
      <c r="M126" s="333"/>
      <c r="N126" s="333"/>
      <c r="O126" s="333"/>
      <c r="P126" s="333"/>
      <c r="Q126" s="331"/>
      <c r="R126" s="331"/>
      <c r="S126" s="331"/>
      <c r="T126" s="299">
        <f>IF(INDEX(Таблицы!AA398:AA462,Таблицы!Y419,1)="",0,INDEX(Таблицы!AA398:AA462,Таблицы!Y419,1))</f>
        <v>0</v>
      </c>
      <c r="U126" s="299"/>
      <c r="V126" s="299"/>
      <c r="W126" s="300">
        <f>IF(AK39&lt;30,T126*3,IF(AK39&lt;126,T126*2+T126*(100-AK39)/100,T126*(AK39-100)/100))</f>
        <v>0</v>
      </c>
      <c r="X126" s="300"/>
      <c r="Y126" s="300"/>
      <c r="Z126" s="299">
        <f>IF(INDEX(Таблицы!AB398:AB462,Таблицы!Y419,1)="",0,INDEX(Таблицы!AB398:AB462,Таблицы!Y419,1))*Q126</f>
        <v>0</v>
      </c>
      <c r="AA126" s="299"/>
      <c r="AB126" s="299"/>
      <c r="AC126" s="273">
        <v>15</v>
      </c>
      <c r="AD126" s="272"/>
      <c r="AE126" s="272"/>
      <c r="AF126" s="272"/>
      <c r="AG126" s="272"/>
      <c r="AH126" s="272"/>
      <c r="AI126" s="272"/>
      <c r="AJ126" s="272"/>
      <c r="AK126" s="272"/>
      <c r="AL126" s="272"/>
      <c r="AM126" s="272"/>
      <c r="AN126" s="272"/>
      <c r="AO126" s="272"/>
      <c r="AP126" s="272"/>
      <c r="AQ126" s="272"/>
      <c r="AR126" s="274"/>
      <c r="AS126" s="274"/>
      <c r="AT126" s="274"/>
      <c r="AU126" s="274"/>
      <c r="AV126" s="274"/>
      <c r="AW126" s="274"/>
      <c r="AX126" s="298">
        <f>IF(BL39&lt;30,AU126*3,IF(BL39&lt;126,AU126*2+AU126*(100-BL39)/100,AU126*(BL39-100)/100))</f>
        <v>0</v>
      </c>
      <c r="AY126" s="298"/>
      <c r="AZ126" s="298"/>
      <c r="BA126" s="274"/>
      <c r="BB126" s="274"/>
      <c r="BC126" s="274"/>
      <c r="BD126" s="13"/>
      <c r="BE126" s="261"/>
      <c r="BF126" s="261"/>
      <c r="BG126" s="261"/>
      <c r="BH126" s="261"/>
      <c r="BI126" s="261"/>
      <c r="BJ126" s="261"/>
      <c r="BK126" s="261"/>
      <c r="BL126" s="261"/>
      <c r="BM126" s="261"/>
      <c r="BN126" s="261"/>
      <c r="BO126" s="261"/>
      <c r="BP126" s="261"/>
      <c r="BQ126" s="29"/>
    </row>
    <row r="127" spans="1:69" ht="7.5" customHeight="1">
      <c r="A127" s="19"/>
      <c r="B127" s="332"/>
      <c r="C127" s="333"/>
      <c r="D127" s="333"/>
      <c r="E127" s="333"/>
      <c r="F127" s="333"/>
      <c r="G127" s="333"/>
      <c r="H127" s="333"/>
      <c r="I127" s="333"/>
      <c r="J127" s="333"/>
      <c r="K127" s="333"/>
      <c r="L127" s="333"/>
      <c r="M127" s="333"/>
      <c r="N127" s="333"/>
      <c r="O127" s="333"/>
      <c r="P127" s="333"/>
      <c r="Q127" s="331"/>
      <c r="R127" s="331"/>
      <c r="S127" s="331"/>
      <c r="T127" s="300"/>
      <c r="U127" s="300"/>
      <c r="V127" s="300"/>
      <c r="W127" s="300"/>
      <c r="X127" s="300"/>
      <c r="Y127" s="300"/>
      <c r="Z127" s="300"/>
      <c r="AA127" s="300"/>
      <c r="AB127" s="300"/>
      <c r="AC127" s="273"/>
      <c r="AD127" s="272"/>
      <c r="AE127" s="272"/>
      <c r="AF127" s="272"/>
      <c r="AG127" s="272"/>
      <c r="AH127" s="272"/>
      <c r="AI127" s="272"/>
      <c r="AJ127" s="272"/>
      <c r="AK127" s="272"/>
      <c r="AL127" s="272"/>
      <c r="AM127" s="272"/>
      <c r="AN127" s="272"/>
      <c r="AO127" s="272"/>
      <c r="AP127" s="272"/>
      <c r="AQ127" s="272"/>
      <c r="AR127" s="274"/>
      <c r="AS127" s="274"/>
      <c r="AT127" s="274"/>
      <c r="AU127" s="274"/>
      <c r="AV127" s="274"/>
      <c r="AW127" s="274"/>
      <c r="AX127" s="298"/>
      <c r="AY127" s="298"/>
      <c r="AZ127" s="298"/>
      <c r="BA127" s="274"/>
      <c r="BB127" s="274"/>
      <c r="BC127" s="274"/>
      <c r="BD127" s="13"/>
      <c r="BE127" s="261"/>
      <c r="BF127" s="261"/>
      <c r="BG127" s="261"/>
      <c r="BH127" s="261"/>
      <c r="BI127" s="261"/>
      <c r="BJ127" s="261"/>
      <c r="BK127" s="261"/>
      <c r="BL127" s="261"/>
      <c r="BM127" s="261"/>
      <c r="BN127" s="261"/>
      <c r="BO127" s="261"/>
      <c r="BP127" s="261"/>
      <c r="BQ127" s="29"/>
    </row>
    <row r="128" spans="1:69" ht="7.5" customHeight="1">
      <c r="A128" s="19"/>
      <c r="B128" s="332"/>
      <c r="C128" s="333"/>
      <c r="D128" s="333"/>
      <c r="E128" s="333"/>
      <c r="F128" s="333"/>
      <c r="G128" s="333"/>
      <c r="H128" s="333"/>
      <c r="I128" s="333"/>
      <c r="J128" s="333"/>
      <c r="K128" s="333"/>
      <c r="L128" s="333"/>
      <c r="M128" s="333"/>
      <c r="N128" s="333"/>
      <c r="O128" s="333"/>
      <c r="P128" s="333"/>
      <c r="Q128" s="331"/>
      <c r="R128" s="331"/>
      <c r="S128" s="331"/>
      <c r="T128" s="300"/>
      <c r="U128" s="300"/>
      <c r="V128" s="300"/>
      <c r="W128" s="300"/>
      <c r="X128" s="300"/>
      <c r="Y128" s="300"/>
      <c r="Z128" s="300"/>
      <c r="AA128" s="300"/>
      <c r="AB128" s="300"/>
      <c r="AC128" s="273">
        <v>16</v>
      </c>
      <c r="AD128" s="272"/>
      <c r="AE128" s="272"/>
      <c r="AF128" s="272"/>
      <c r="AG128" s="272"/>
      <c r="AH128" s="272"/>
      <c r="AI128" s="272"/>
      <c r="AJ128" s="272"/>
      <c r="AK128" s="272"/>
      <c r="AL128" s="272"/>
      <c r="AM128" s="272"/>
      <c r="AN128" s="272"/>
      <c r="AO128" s="272"/>
      <c r="AP128" s="272"/>
      <c r="AQ128" s="272"/>
      <c r="AR128" s="274"/>
      <c r="AS128" s="274"/>
      <c r="AT128" s="274"/>
      <c r="AU128" s="274"/>
      <c r="AV128" s="274"/>
      <c r="AW128" s="274"/>
      <c r="AX128" s="298">
        <f>IF(BL39&lt;30,AU128*3,IF(BL39&lt;126,AU128*2+AU128*(100-BL39)/100,AU128*(BL39-100)/100))</f>
        <v>0</v>
      </c>
      <c r="AY128" s="298"/>
      <c r="AZ128" s="298"/>
      <c r="BA128" s="274"/>
      <c r="BB128" s="274"/>
      <c r="BC128" s="274"/>
      <c r="BD128" s="13"/>
      <c r="BE128" s="261"/>
      <c r="BF128" s="261"/>
      <c r="BG128" s="261"/>
      <c r="BH128" s="261"/>
      <c r="BI128" s="261"/>
      <c r="BJ128" s="261"/>
      <c r="BK128" s="261"/>
      <c r="BL128" s="261"/>
      <c r="BM128" s="261"/>
      <c r="BN128" s="261"/>
      <c r="BO128" s="261"/>
      <c r="BP128" s="261"/>
      <c r="BQ128" s="29"/>
    </row>
    <row r="129" spans="1:69" ht="7.5" customHeight="1">
      <c r="A129" s="19"/>
      <c r="B129" s="332">
        <v>7</v>
      </c>
      <c r="C129" s="333"/>
      <c r="D129" s="333"/>
      <c r="E129" s="333"/>
      <c r="F129" s="333"/>
      <c r="G129" s="333"/>
      <c r="H129" s="333"/>
      <c r="I129" s="333"/>
      <c r="J129" s="333"/>
      <c r="K129" s="333"/>
      <c r="L129" s="333"/>
      <c r="M129" s="333"/>
      <c r="N129" s="333"/>
      <c r="O129" s="333"/>
      <c r="P129" s="333"/>
      <c r="Q129" s="331"/>
      <c r="R129" s="331"/>
      <c r="S129" s="331"/>
      <c r="T129" s="299">
        <f>IF(INDEX(Таблицы!AA398:AA462,Таблицы!Y420,1)="",0,INDEX(Таблицы!AA398:AA462,Таблицы!Y420,1))</f>
        <v>0</v>
      </c>
      <c r="U129" s="299"/>
      <c r="V129" s="299"/>
      <c r="W129" s="300">
        <f>IF(AK39&lt;30,T129*3,IF(AK39&lt;126,T129*2+T129*(100-AK39)/100,T129*(AK39-100)/100))</f>
        <v>0</v>
      </c>
      <c r="X129" s="300"/>
      <c r="Y129" s="300"/>
      <c r="Z129" s="299">
        <f>IF(INDEX(Таблицы!AB398:AB462,Таблицы!Y404,1)="",0,INDEX(Таблицы!AB398:AB462,Таблицы!Y404,1))*Q129</f>
        <v>0</v>
      </c>
      <c r="AA129" s="299"/>
      <c r="AB129" s="299"/>
      <c r="AC129" s="273"/>
      <c r="AD129" s="272"/>
      <c r="AE129" s="272"/>
      <c r="AF129" s="272"/>
      <c r="AG129" s="272"/>
      <c r="AH129" s="272"/>
      <c r="AI129" s="272"/>
      <c r="AJ129" s="272"/>
      <c r="AK129" s="272"/>
      <c r="AL129" s="272"/>
      <c r="AM129" s="272"/>
      <c r="AN129" s="272"/>
      <c r="AO129" s="272"/>
      <c r="AP129" s="272"/>
      <c r="AQ129" s="272"/>
      <c r="AR129" s="274"/>
      <c r="AS129" s="274"/>
      <c r="AT129" s="274"/>
      <c r="AU129" s="274"/>
      <c r="AV129" s="274"/>
      <c r="AW129" s="274"/>
      <c r="AX129" s="298"/>
      <c r="AY129" s="298"/>
      <c r="AZ129" s="298"/>
      <c r="BA129" s="274"/>
      <c r="BB129" s="274"/>
      <c r="BC129" s="274"/>
      <c r="BD129" s="13"/>
      <c r="BE129" s="261"/>
      <c r="BF129" s="261"/>
      <c r="BG129" s="261"/>
      <c r="BH129" s="261"/>
      <c r="BI129" s="261"/>
      <c r="BJ129" s="261"/>
      <c r="BK129" s="261"/>
      <c r="BL129" s="261"/>
      <c r="BM129" s="261"/>
      <c r="BN129" s="261"/>
      <c r="BO129" s="261"/>
      <c r="BP129" s="261"/>
      <c r="BQ129" s="29"/>
    </row>
    <row r="130" spans="1:69" ht="7.5" customHeight="1">
      <c r="A130" s="19"/>
      <c r="B130" s="332"/>
      <c r="C130" s="333"/>
      <c r="D130" s="333"/>
      <c r="E130" s="333"/>
      <c r="F130" s="333"/>
      <c r="G130" s="333"/>
      <c r="H130" s="333"/>
      <c r="I130" s="333"/>
      <c r="J130" s="333"/>
      <c r="K130" s="333"/>
      <c r="L130" s="333"/>
      <c r="M130" s="333"/>
      <c r="N130" s="333"/>
      <c r="O130" s="333"/>
      <c r="P130" s="333"/>
      <c r="Q130" s="331"/>
      <c r="R130" s="331"/>
      <c r="S130" s="331"/>
      <c r="T130" s="300"/>
      <c r="U130" s="300"/>
      <c r="V130" s="300"/>
      <c r="W130" s="300"/>
      <c r="X130" s="300"/>
      <c r="Y130" s="300"/>
      <c r="Z130" s="300"/>
      <c r="AA130" s="300"/>
      <c r="AB130" s="300"/>
      <c r="AC130" s="275" t="s">
        <v>230</v>
      </c>
      <c r="AD130" s="275"/>
      <c r="AE130" s="275"/>
      <c r="AF130" s="275"/>
      <c r="AG130" s="275"/>
      <c r="AH130" s="275"/>
      <c r="AI130" s="275"/>
      <c r="AJ130" s="275"/>
      <c r="AK130" s="275"/>
      <c r="AL130" s="275"/>
      <c r="AM130" s="275"/>
      <c r="AN130" s="275"/>
      <c r="AO130" s="275"/>
      <c r="AP130" s="275"/>
      <c r="AQ130" s="275"/>
      <c r="AR130" s="275"/>
      <c r="AS130" s="275"/>
      <c r="AT130" s="276"/>
      <c r="AU130" s="279">
        <f>SUM(T111:V131)+SUM(AU111:AW129)</f>
        <v>0</v>
      </c>
      <c r="AV130" s="279"/>
      <c r="AW130" s="279"/>
      <c r="AX130" s="279">
        <f>SUM(W111:Y131)+SUM(AX111:AZ129)</f>
        <v>0</v>
      </c>
      <c r="AY130" s="279"/>
      <c r="AZ130" s="279"/>
      <c r="BA130" s="279">
        <f>SUM(Z111:AB131)+SUM(BA111:BC129)</f>
        <v>0</v>
      </c>
      <c r="BB130" s="279"/>
      <c r="BC130" s="279"/>
      <c r="BD130" s="13"/>
      <c r="BE130" s="261"/>
      <c r="BF130" s="261"/>
      <c r="BG130" s="261"/>
      <c r="BH130" s="261"/>
      <c r="BI130" s="261"/>
      <c r="BJ130" s="261"/>
      <c r="BK130" s="261"/>
      <c r="BL130" s="261"/>
      <c r="BM130" s="261"/>
      <c r="BN130" s="261"/>
      <c r="BO130" s="261"/>
      <c r="BP130" s="261"/>
      <c r="BQ130" s="29"/>
    </row>
    <row r="131" spans="1:69" ht="7.5" customHeight="1">
      <c r="A131" s="19"/>
      <c r="B131" s="332"/>
      <c r="C131" s="333"/>
      <c r="D131" s="333"/>
      <c r="E131" s="333"/>
      <c r="F131" s="333"/>
      <c r="G131" s="333"/>
      <c r="H131" s="333"/>
      <c r="I131" s="333"/>
      <c r="J131" s="333"/>
      <c r="K131" s="333"/>
      <c r="L131" s="333"/>
      <c r="M131" s="333"/>
      <c r="N131" s="333"/>
      <c r="O131" s="333"/>
      <c r="P131" s="333"/>
      <c r="Q131" s="331"/>
      <c r="R131" s="331"/>
      <c r="S131" s="331"/>
      <c r="T131" s="300"/>
      <c r="U131" s="300"/>
      <c r="V131" s="300"/>
      <c r="W131" s="300"/>
      <c r="X131" s="300"/>
      <c r="Y131" s="300"/>
      <c r="Z131" s="300"/>
      <c r="AA131" s="300"/>
      <c r="AB131" s="300"/>
      <c r="AC131" s="277"/>
      <c r="AD131" s="277"/>
      <c r="AE131" s="277"/>
      <c r="AF131" s="277"/>
      <c r="AG131" s="277"/>
      <c r="AH131" s="277"/>
      <c r="AI131" s="277"/>
      <c r="AJ131" s="277"/>
      <c r="AK131" s="277"/>
      <c r="AL131" s="277"/>
      <c r="AM131" s="277"/>
      <c r="AN131" s="277"/>
      <c r="AO131" s="277"/>
      <c r="AP131" s="277"/>
      <c r="AQ131" s="277"/>
      <c r="AR131" s="277"/>
      <c r="AS131" s="277"/>
      <c r="AT131" s="278"/>
      <c r="AU131" s="279"/>
      <c r="AV131" s="279"/>
      <c r="AW131" s="279"/>
      <c r="AX131" s="279"/>
      <c r="AY131" s="279"/>
      <c r="AZ131" s="279"/>
      <c r="BA131" s="279"/>
      <c r="BB131" s="279"/>
      <c r="BC131" s="279"/>
      <c r="BD131" s="13"/>
      <c r="BE131" s="261"/>
      <c r="BF131" s="261"/>
      <c r="BG131" s="261"/>
      <c r="BH131" s="261"/>
      <c r="BI131" s="261"/>
      <c r="BJ131" s="261"/>
      <c r="BK131" s="261"/>
      <c r="BL131" s="261"/>
      <c r="BM131" s="261"/>
      <c r="BN131" s="261"/>
      <c r="BO131" s="261"/>
      <c r="BP131" s="261"/>
      <c r="BQ131" s="29"/>
    </row>
    <row r="132" spans="1:69" ht="7.5" customHeight="1" thickBot="1">
      <c r="A132" s="32"/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0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3"/>
    </row>
  </sheetData>
  <sheetProtection password="CF7A" sheet="1" objects="1" scenarios="1"/>
  <mergeCells count="760">
    <mergeCell ref="BE110:BN111"/>
    <mergeCell ref="BO110:BP111"/>
    <mergeCell ref="BE106:BN107"/>
    <mergeCell ref="BO106:BP107"/>
    <mergeCell ref="BE108:BN109"/>
    <mergeCell ref="BO108:BP109"/>
    <mergeCell ref="BE102:BN103"/>
    <mergeCell ref="BO102:BP103"/>
    <mergeCell ref="BE104:BN105"/>
    <mergeCell ref="BO104:BP105"/>
    <mergeCell ref="V72:Y73"/>
    <mergeCell ref="Z72:Z73"/>
    <mergeCell ref="AD70:BC71"/>
    <mergeCell ref="B70:AA71"/>
    <mergeCell ref="AV72:AW74"/>
    <mergeCell ref="B72:E74"/>
    <mergeCell ref="T72:U74"/>
    <mergeCell ref="F72:Q74"/>
    <mergeCell ref="AD72:AG74"/>
    <mergeCell ref="AT72:AU74"/>
    <mergeCell ref="AA2:AE3"/>
    <mergeCell ref="AF2:AR3"/>
    <mergeCell ref="AH47:AR49"/>
    <mergeCell ref="AO77:AU78"/>
    <mergeCell ref="AD75:AD76"/>
    <mergeCell ref="AE75:AG76"/>
    <mergeCell ref="AH75:AI76"/>
    <mergeCell ref="AJ75:AQ76"/>
    <mergeCell ref="AR75:AS76"/>
    <mergeCell ref="AT75:AW76"/>
    <mergeCell ref="BO93:BO94"/>
    <mergeCell ref="BP93:BP94"/>
    <mergeCell ref="R72:S74"/>
    <mergeCell ref="AX72:BA73"/>
    <mergeCell ref="BB72:BB73"/>
    <mergeCell ref="BM85:BN86"/>
    <mergeCell ref="BO85:BO86"/>
    <mergeCell ref="BP85:BP86"/>
    <mergeCell ref="BM89:BN90"/>
    <mergeCell ref="BO89:BO90"/>
    <mergeCell ref="BH89:BH90"/>
    <mergeCell ref="BI89:BJ90"/>
    <mergeCell ref="BK89:BL90"/>
    <mergeCell ref="BK87:BK88"/>
    <mergeCell ref="BH87:BH88"/>
    <mergeCell ref="BL87:BM88"/>
    <mergeCell ref="AV79:AW81"/>
    <mergeCell ref="AF82:AJ83"/>
    <mergeCell ref="AK82:AM83"/>
    <mergeCell ref="AN82:AW83"/>
    <mergeCell ref="AD79:AF81"/>
    <mergeCell ref="AG79:AO81"/>
    <mergeCell ref="AT79:AU81"/>
    <mergeCell ref="AP79:AQ81"/>
    <mergeCell ref="AR79:AS81"/>
    <mergeCell ref="AD82:AE83"/>
    <mergeCell ref="BI75:BJ76"/>
    <mergeCell ref="BK75:BL76"/>
    <mergeCell ref="BM75:BN76"/>
    <mergeCell ref="BP89:BP90"/>
    <mergeCell ref="BO87:BP88"/>
    <mergeCell ref="BN87:BN88"/>
    <mergeCell ref="BI87:BJ88"/>
    <mergeCell ref="BL83:BM84"/>
    <mergeCell ref="BL81:BP82"/>
    <mergeCell ref="BO75:BP76"/>
    <mergeCell ref="BB60:BO61"/>
    <mergeCell ref="BB62:BO63"/>
    <mergeCell ref="BB64:BO65"/>
    <mergeCell ref="BB66:BO67"/>
    <mergeCell ref="BB47:BO49"/>
    <mergeCell ref="BB50:BO51"/>
    <mergeCell ref="BB52:BO53"/>
    <mergeCell ref="BB54:BO55"/>
    <mergeCell ref="BE128:BP129"/>
    <mergeCell ref="BE130:BP131"/>
    <mergeCell ref="BE120:BP121"/>
    <mergeCell ref="BE122:BP123"/>
    <mergeCell ref="BE124:BP125"/>
    <mergeCell ref="BE126:BP127"/>
    <mergeCell ref="BE114:BP115"/>
    <mergeCell ref="BE116:BP117"/>
    <mergeCell ref="AC128:AC129"/>
    <mergeCell ref="AD128:AQ129"/>
    <mergeCell ref="AR128:AT129"/>
    <mergeCell ref="BA126:BC127"/>
    <mergeCell ref="BA120:BC121"/>
    <mergeCell ref="AX122:AZ123"/>
    <mergeCell ref="AU128:AW129"/>
    <mergeCell ref="BA122:BC123"/>
    <mergeCell ref="AC130:AT131"/>
    <mergeCell ref="AU130:AW131"/>
    <mergeCell ref="AX130:AZ131"/>
    <mergeCell ref="BA130:BC131"/>
    <mergeCell ref="BI70:BP72"/>
    <mergeCell ref="BE73:BF74"/>
    <mergeCell ref="BG73:BH74"/>
    <mergeCell ref="BI73:BJ74"/>
    <mergeCell ref="BK73:BL74"/>
    <mergeCell ref="BM73:BN74"/>
    <mergeCell ref="BO73:BP74"/>
    <mergeCell ref="BE70:BH72"/>
    <mergeCell ref="BO91:BP92"/>
    <mergeCell ref="BH93:BH94"/>
    <mergeCell ref="BI93:BJ94"/>
    <mergeCell ref="BK93:BL94"/>
    <mergeCell ref="BL91:BM92"/>
    <mergeCell ref="BN91:BN92"/>
    <mergeCell ref="BM93:BN94"/>
    <mergeCell ref="BK91:BK92"/>
    <mergeCell ref="BI91:BJ92"/>
    <mergeCell ref="BH91:BH92"/>
    <mergeCell ref="BE75:BF76"/>
    <mergeCell ref="BG75:BH76"/>
    <mergeCell ref="BE118:BP119"/>
    <mergeCell ref="BN79:BN80"/>
    <mergeCell ref="BO79:BP80"/>
    <mergeCell ref="BH81:BH82"/>
    <mergeCell ref="BI81:BJ82"/>
    <mergeCell ref="BK81:BK82"/>
    <mergeCell ref="BE79:BG82"/>
    <mergeCell ref="BN83:BN84"/>
    <mergeCell ref="AU124:AW125"/>
    <mergeCell ref="AX124:AZ125"/>
    <mergeCell ref="BA124:BC125"/>
    <mergeCell ref="AX128:AZ129"/>
    <mergeCell ref="BA128:BC129"/>
    <mergeCell ref="AX126:AZ127"/>
    <mergeCell ref="AC126:AC127"/>
    <mergeCell ref="AD126:AQ127"/>
    <mergeCell ref="AR126:AT127"/>
    <mergeCell ref="AU126:AW127"/>
    <mergeCell ref="AR120:AT121"/>
    <mergeCell ref="AC120:AC121"/>
    <mergeCell ref="AC124:AC125"/>
    <mergeCell ref="AD124:AQ125"/>
    <mergeCell ref="AR124:AT125"/>
    <mergeCell ref="AC122:AC123"/>
    <mergeCell ref="AD122:AQ123"/>
    <mergeCell ref="AR122:AT123"/>
    <mergeCell ref="AU122:AW123"/>
    <mergeCell ref="AU118:AW119"/>
    <mergeCell ref="AX116:AZ117"/>
    <mergeCell ref="AX114:AZ115"/>
    <mergeCell ref="AU120:AW121"/>
    <mergeCell ref="AX120:AZ121"/>
    <mergeCell ref="AU116:AW117"/>
    <mergeCell ref="AX118:AZ119"/>
    <mergeCell ref="AU114:AW115"/>
    <mergeCell ref="BK79:BK80"/>
    <mergeCell ref="Z123:AB125"/>
    <mergeCell ref="AU111:AW113"/>
    <mergeCell ref="AX111:AZ113"/>
    <mergeCell ref="AR116:AT117"/>
    <mergeCell ref="Z111:AB113"/>
    <mergeCell ref="AC114:AC115"/>
    <mergeCell ref="AD114:AQ115"/>
    <mergeCell ref="AX109:AZ110"/>
    <mergeCell ref="BA118:BC119"/>
    <mergeCell ref="W129:Y131"/>
    <mergeCell ref="BK77:BL78"/>
    <mergeCell ref="BE83:BG86"/>
    <mergeCell ref="BE77:BF78"/>
    <mergeCell ref="BH83:BH84"/>
    <mergeCell ref="BI83:BJ84"/>
    <mergeCell ref="BK83:BK84"/>
    <mergeCell ref="BL79:BM80"/>
    <mergeCell ref="BA114:BC115"/>
    <mergeCell ref="BI79:BJ80"/>
    <mergeCell ref="Q126:S128"/>
    <mergeCell ref="T126:V128"/>
    <mergeCell ref="AD111:AQ113"/>
    <mergeCell ref="BA116:BC117"/>
    <mergeCell ref="T111:V113"/>
    <mergeCell ref="Z114:AB116"/>
    <mergeCell ref="BA111:BC113"/>
    <mergeCell ref="AC116:AC117"/>
    <mergeCell ref="AD116:AQ117"/>
    <mergeCell ref="AC118:AC119"/>
    <mergeCell ref="AR111:AT113"/>
    <mergeCell ref="AS103:AT104"/>
    <mergeCell ref="AM103:AR104"/>
    <mergeCell ref="AM101:AR102"/>
    <mergeCell ref="Q129:S131"/>
    <mergeCell ref="T129:V131"/>
    <mergeCell ref="B129:B131"/>
    <mergeCell ref="C129:P131"/>
    <mergeCell ref="B126:B128"/>
    <mergeCell ref="C126:P128"/>
    <mergeCell ref="BG77:BJ78"/>
    <mergeCell ref="B120:B122"/>
    <mergeCell ref="C120:P122"/>
    <mergeCell ref="B123:B125"/>
    <mergeCell ref="C123:P125"/>
    <mergeCell ref="AD120:AQ121"/>
    <mergeCell ref="AD109:AQ110"/>
    <mergeCell ref="AC111:AC113"/>
    <mergeCell ref="BO77:BP78"/>
    <mergeCell ref="BM77:BN78"/>
    <mergeCell ref="BE100:BP101"/>
    <mergeCell ref="BE95:BP96"/>
    <mergeCell ref="BE97:BP98"/>
    <mergeCell ref="BO83:BP84"/>
    <mergeCell ref="BH85:BH86"/>
    <mergeCell ref="BI85:BJ86"/>
    <mergeCell ref="BK85:BL86"/>
    <mergeCell ref="BH79:BH80"/>
    <mergeCell ref="K93:M94"/>
    <mergeCell ref="Q117:S119"/>
    <mergeCell ref="C109:P110"/>
    <mergeCell ref="B109:B110"/>
    <mergeCell ref="B117:B119"/>
    <mergeCell ref="C117:P119"/>
    <mergeCell ref="B97:I98"/>
    <mergeCell ref="B95:I96"/>
    <mergeCell ref="B93:I94"/>
    <mergeCell ref="K99:P100"/>
    <mergeCell ref="AD118:AQ119"/>
    <mergeCell ref="AR118:AT119"/>
    <mergeCell ref="AR114:AT115"/>
    <mergeCell ref="T117:V119"/>
    <mergeCell ref="W114:Y116"/>
    <mergeCell ref="T114:V116"/>
    <mergeCell ref="W117:Y119"/>
    <mergeCell ref="Z117:AB119"/>
    <mergeCell ref="AV77:AW78"/>
    <mergeCell ref="AC109:AC110"/>
    <mergeCell ref="AU103:AW104"/>
    <mergeCell ref="B107:BC108"/>
    <mergeCell ref="B101:I102"/>
    <mergeCell ref="AJ103:AK104"/>
    <mergeCell ref="K101:P102"/>
    <mergeCell ref="AA101:AB102"/>
    <mergeCell ref="X103:Z104"/>
    <mergeCell ref="B90:I92"/>
    <mergeCell ref="B99:I100"/>
    <mergeCell ref="S99:U100"/>
    <mergeCell ref="AU99:AW100"/>
    <mergeCell ref="AZ99:BA100"/>
    <mergeCell ref="AF95:AG104"/>
    <mergeCell ref="AZ103:BA104"/>
    <mergeCell ref="AU95:AW96"/>
    <mergeCell ref="V95:W96"/>
    <mergeCell ref="AH95:AI96"/>
    <mergeCell ref="AS95:AT96"/>
    <mergeCell ref="AM99:AR100"/>
    <mergeCell ref="AZ95:BA96"/>
    <mergeCell ref="S97:U98"/>
    <mergeCell ref="AZ97:BA98"/>
    <mergeCell ref="S95:U96"/>
    <mergeCell ref="AA95:AB96"/>
    <mergeCell ref="AH97:AI98"/>
    <mergeCell ref="AM95:AR96"/>
    <mergeCell ref="K95:P96"/>
    <mergeCell ref="AU97:AW98"/>
    <mergeCell ref="AM97:AR98"/>
    <mergeCell ref="AS97:AT98"/>
    <mergeCell ref="V97:W98"/>
    <mergeCell ref="X97:Z98"/>
    <mergeCell ref="AJ95:AK96"/>
    <mergeCell ref="AJ97:AK98"/>
    <mergeCell ref="AJ101:AK102"/>
    <mergeCell ref="AH103:AI104"/>
    <mergeCell ref="X95:Z96"/>
    <mergeCell ref="AC95:AE96"/>
    <mergeCell ref="BB82:BC83"/>
    <mergeCell ref="AZ82:BA83"/>
    <mergeCell ref="AX95:AY104"/>
    <mergeCell ref="AA103:AB104"/>
    <mergeCell ref="AC99:AE100"/>
    <mergeCell ref="AH99:AI100"/>
    <mergeCell ref="AH101:AI102"/>
    <mergeCell ref="AS101:AT102"/>
    <mergeCell ref="AP90:BC92"/>
    <mergeCell ref="BB84:BC85"/>
    <mergeCell ref="AZ76:BA77"/>
    <mergeCell ref="AZ78:BA79"/>
    <mergeCell ref="BB78:BC79"/>
    <mergeCell ref="AZ80:BA81"/>
    <mergeCell ref="BB76:BC77"/>
    <mergeCell ref="BB80:BC81"/>
    <mergeCell ref="N93:P94"/>
    <mergeCell ref="AC101:AE102"/>
    <mergeCell ref="AC97:AE98"/>
    <mergeCell ref="Q95:R96"/>
    <mergeCell ref="Q97:R98"/>
    <mergeCell ref="V101:W102"/>
    <mergeCell ref="AA93:AE94"/>
    <mergeCell ref="K97:P98"/>
    <mergeCell ref="AA97:AB98"/>
    <mergeCell ref="V93:Z94"/>
    <mergeCell ref="B88:BC89"/>
    <mergeCell ref="AM90:AO92"/>
    <mergeCell ref="AZ84:BA85"/>
    <mergeCell ref="AX76:AY85"/>
    <mergeCell ref="Z82:AA83"/>
    <mergeCell ref="AL77:AL78"/>
    <mergeCell ref="AM77:AN78"/>
    <mergeCell ref="B84:I85"/>
    <mergeCell ref="AD84:AK85"/>
    <mergeCell ref="T84:U85"/>
    <mergeCell ref="AS93:AW94"/>
    <mergeCell ref="AS84:AU85"/>
    <mergeCell ref="AC103:AE104"/>
    <mergeCell ref="AP93:AR94"/>
    <mergeCell ref="AN84:AP85"/>
    <mergeCell ref="AM93:AO94"/>
    <mergeCell ref="AL84:AM85"/>
    <mergeCell ref="AQ84:AR85"/>
    <mergeCell ref="AV84:AW85"/>
    <mergeCell ref="Q90:AK92"/>
    <mergeCell ref="BE91:BG94"/>
    <mergeCell ref="AU101:AW102"/>
    <mergeCell ref="L82:U83"/>
    <mergeCell ref="Q101:R102"/>
    <mergeCell ref="S101:U102"/>
    <mergeCell ref="AA99:AB100"/>
    <mergeCell ref="X84:Y85"/>
    <mergeCell ref="Z84:AA85"/>
    <mergeCell ref="AS99:AT100"/>
    <mergeCell ref="AJ99:AK100"/>
    <mergeCell ref="BA109:BC110"/>
    <mergeCell ref="BE87:BG90"/>
    <mergeCell ref="BB95:BC96"/>
    <mergeCell ref="AR109:AT110"/>
    <mergeCell ref="AU109:AW110"/>
    <mergeCell ref="BB97:BC98"/>
    <mergeCell ref="BB103:BC104"/>
    <mergeCell ref="BB99:BC100"/>
    <mergeCell ref="AZ101:BA102"/>
    <mergeCell ref="BB101:BC102"/>
    <mergeCell ref="Z109:AB110"/>
    <mergeCell ref="X99:Z100"/>
    <mergeCell ref="Q99:R100"/>
    <mergeCell ref="W109:Y110"/>
    <mergeCell ref="S103:U104"/>
    <mergeCell ref="T109:V110"/>
    <mergeCell ref="Q109:S110"/>
    <mergeCell ref="V99:W100"/>
    <mergeCell ref="X101:Z102"/>
    <mergeCell ref="V103:W104"/>
    <mergeCell ref="V76:W85"/>
    <mergeCell ref="AJ77:AK78"/>
    <mergeCell ref="AD77:AE78"/>
    <mergeCell ref="AF77:AF78"/>
    <mergeCell ref="AG77:AH78"/>
    <mergeCell ref="AI77:AI78"/>
    <mergeCell ref="Z80:AA81"/>
    <mergeCell ref="B82:C83"/>
    <mergeCell ref="T79:U81"/>
    <mergeCell ref="R79:S81"/>
    <mergeCell ref="O84:P85"/>
    <mergeCell ref="J84:K85"/>
    <mergeCell ref="L84:N85"/>
    <mergeCell ref="N79:O81"/>
    <mergeCell ref="D82:H83"/>
    <mergeCell ref="I82:K83"/>
    <mergeCell ref="P79:Q81"/>
    <mergeCell ref="AH72:AS74"/>
    <mergeCell ref="B79:D81"/>
    <mergeCell ref="E79:M81"/>
    <mergeCell ref="X80:Y81"/>
    <mergeCell ref="G77:G78"/>
    <mergeCell ref="H77:I78"/>
    <mergeCell ref="J77:J78"/>
    <mergeCell ref="K77:L78"/>
    <mergeCell ref="Z76:AA77"/>
    <mergeCell ref="B75:B76"/>
    <mergeCell ref="C75:E76"/>
    <mergeCell ref="T77:U78"/>
    <mergeCell ref="Z78:AA79"/>
    <mergeCell ref="X76:Y77"/>
    <mergeCell ref="X78:Y79"/>
    <mergeCell ref="B77:C78"/>
    <mergeCell ref="D77:D78"/>
    <mergeCell ref="E77:F78"/>
    <mergeCell ref="F75:G76"/>
    <mergeCell ref="H75:O76"/>
    <mergeCell ref="P75:Q76"/>
    <mergeCell ref="R75:U76"/>
    <mergeCell ref="AT47:BA49"/>
    <mergeCell ref="AT50:BA51"/>
    <mergeCell ref="AH62:AR67"/>
    <mergeCell ref="AH59:AR61"/>
    <mergeCell ref="AH53:AR58"/>
    <mergeCell ref="AT64:BA65"/>
    <mergeCell ref="AT66:BA67"/>
    <mergeCell ref="AT54:BA55"/>
    <mergeCell ref="V52:X53"/>
    <mergeCell ref="B62:N63"/>
    <mergeCell ref="B60:N61"/>
    <mergeCell ref="AT5:AU6"/>
    <mergeCell ref="AT62:BA63"/>
    <mergeCell ref="AT52:BA53"/>
    <mergeCell ref="AT58:BA59"/>
    <mergeCell ref="AT60:BA61"/>
    <mergeCell ref="AT33:AU34"/>
    <mergeCell ref="AX13:AY14"/>
    <mergeCell ref="BJ11:BK12"/>
    <mergeCell ref="BJ9:BK10"/>
    <mergeCell ref="BJ7:BK8"/>
    <mergeCell ref="BF13:BG14"/>
    <mergeCell ref="BF11:BG12"/>
    <mergeCell ref="BF9:BG10"/>
    <mergeCell ref="BF7:BG8"/>
    <mergeCell ref="BN7:BO8"/>
    <mergeCell ref="BN13:BO14"/>
    <mergeCell ref="BN11:BO12"/>
    <mergeCell ref="BN9:BO10"/>
    <mergeCell ref="BB56:BO57"/>
    <mergeCell ref="BB58:BO59"/>
    <mergeCell ref="AH50:AR52"/>
    <mergeCell ref="AT3:AU4"/>
    <mergeCell ref="AT56:BA57"/>
    <mergeCell ref="AC5:AJ6"/>
    <mergeCell ref="AT39:AU40"/>
    <mergeCell ref="AT41:AU42"/>
    <mergeCell ref="AT43:AU44"/>
    <mergeCell ref="AT31:AU32"/>
    <mergeCell ref="BN21:BO22"/>
    <mergeCell ref="BN19:BO20"/>
    <mergeCell ref="BN17:BO18"/>
    <mergeCell ref="AW3:AY4"/>
    <mergeCell ref="BA3:BG4"/>
    <mergeCell ref="BI3:BO4"/>
    <mergeCell ref="AW5:AY6"/>
    <mergeCell ref="BA5:BG6"/>
    <mergeCell ref="BI5:BO6"/>
    <mergeCell ref="AX11:AY12"/>
    <mergeCell ref="BN29:BO30"/>
    <mergeCell ref="BN27:BO28"/>
    <mergeCell ref="BN25:BO26"/>
    <mergeCell ref="BN23:BO24"/>
    <mergeCell ref="BN35:BO36"/>
    <mergeCell ref="BN33:BO34"/>
    <mergeCell ref="BN31:BO32"/>
    <mergeCell ref="BJ19:BK20"/>
    <mergeCell ref="BM7:BM44"/>
    <mergeCell ref="BN43:BO44"/>
    <mergeCell ref="BN41:BO42"/>
    <mergeCell ref="BN39:BO40"/>
    <mergeCell ref="BN37:BO38"/>
    <mergeCell ref="BN15:BO16"/>
    <mergeCell ref="BJ17:BK18"/>
    <mergeCell ref="BJ15:BK16"/>
    <mergeCell ref="BJ13:BK14"/>
    <mergeCell ref="BJ35:BK36"/>
    <mergeCell ref="BJ33:BK34"/>
    <mergeCell ref="BJ31:BK32"/>
    <mergeCell ref="BJ21:BK22"/>
    <mergeCell ref="BJ29:BK30"/>
    <mergeCell ref="BJ27:BK28"/>
    <mergeCell ref="BJ25:BK26"/>
    <mergeCell ref="BJ43:BK44"/>
    <mergeCell ref="BJ41:BK42"/>
    <mergeCell ref="BJ39:BK40"/>
    <mergeCell ref="BJ37:BK38"/>
    <mergeCell ref="BF21:BG22"/>
    <mergeCell ref="BF19:BG20"/>
    <mergeCell ref="BF17:BG18"/>
    <mergeCell ref="BF15:BG16"/>
    <mergeCell ref="BB29:BC30"/>
    <mergeCell ref="BF43:BG44"/>
    <mergeCell ref="BF41:BG42"/>
    <mergeCell ref="BF39:BG40"/>
    <mergeCell ref="BF37:BG38"/>
    <mergeCell ref="BF35:BG36"/>
    <mergeCell ref="BF33:BG34"/>
    <mergeCell ref="BF31:BG32"/>
    <mergeCell ref="BF29:BG30"/>
    <mergeCell ref="BB37:BC38"/>
    <mergeCell ref="BB11:BC12"/>
    <mergeCell ref="BB9:BC10"/>
    <mergeCell ref="BB7:BC8"/>
    <mergeCell ref="BB21:BC22"/>
    <mergeCell ref="BB19:BC20"/>
    <mergeCell ref="BB17:BC18"/>
    <mergeCell ref="BB15:BC16"/>
    <mergeCell ref="BB13:BC14"/>
    <mergeCell ref="BJ23:BK24"/>
    <mergeCell ref="BF27:BG28"/>
    <mergeCell ref="BF23:BG24"/>
    <mergeCell ref="BF25:BG26"/>
    <mergeCell ref="BE7:BE44"/>
    <mergeCell ref="BI7:BI44"/>
    <mergeCell ref="BB27:BC28"/>
    <mergeCell ref="AX29:AY30"/>
    <mergeCell ref="AX27:AY28"/>
    <mergeCell ref="AX43:AY44"/>
    <mergeCell ref="AX41:AY42"/>
    <mergeCell ref="AX39:AY40"/>
    <mergeCell ref="AX37:AY38"/>
    <mergeCell ref="BB43:BC44"/>
    <mergeCell ref="BB41:BC42"/>
    <mergeCell ref="BB39:BC40"/>
    <mergeCell ref="AX15:AY16"/>
    <mergeCell ref="AX35:AY36"/>
    <mergeCell ref="AX33:AY34"/>
    <mergeCell ref="AX31:AY32"/>
    <mergeCell ref="BB35:BC36"/>
    <mergeCell ref="BB33:BC34"/>
    <mergeCell ref="BB31:BC32"/>
    <mergeCell ref="BB23:BC24"/>
    <mergeCell ref="AT35:AU36"/>
    <mergeCell ref="BB25:BC26"/>
    <mergeCell ref="BA7:BA44"/>
    <mergeCell ref="AX9:AY10"/>
    <mergeCell ref="AX7:AY8"/>
    <mergeCell ref="AX25:AY26"/>
    <mergeCell ref="AX23:AY24"/>
    <mergeCell ref="AX21:AY22"/>
    <mergeCell ref="AX19:AY20"/>
    <mergeCell ref="AX17:AY18"/>
    <mergeCell ref="AW7:AW44"/>
    <mergeCell ref="AT15:AU16"/>
    <mergeCell ref="AT17:AU18"/>
    <mergeCell ref="AT19:AU20"/>
    <mergeCell ref="AT21:AU22"/>
    <mergeCell ref="AT37:AU38"/>
    <mergeCell ref="AT23:AU24"/>
    <mergeCell ref="AT25:AU26"/>
    <mergeCell ref="AT27:AU28"/>
    <mergeCell ref="AT29:AU30"/>
    <mergeCell ref="AK13:AL14"/>
    <mergeCell ref="AK11:AL12"/>
    <mergeCell ref="AT13:AU14"/>
    <mergeCell ref="AP15:AQ16"/>
    <mergeCell ref="AP13:AQ14"/>
    <mergeCell ref="AK9:AL10"/>
    <mergeCell ref="AT7:AU8"/>
    <mergeCell ref="AT9:AU10"/>
    <mergeCell ref="AT11:AU12"/>
    <mergeCell ref="AP11:AQ12"/>
    <mergeCell ref="AP9:AQ10"/>
    <mergeCell ref="AK23:AL24"/>
    <mergeCell ref="AK21:AL22"/>
    <mergeCell ref="AK19:AL20"/>
    <mergeCell ref="AK17:AL18"/>
    <mergeCell ref="AK31:AL32"/>
    <mergeCell ref="AK29:AL30"/>
    <mergeCell ref="AK27:AL28"/>
    <mergeCell ref="AK25:AL26"/>
    <mergeCell ref="AP23:AQ24"/>
    <mergeCell ref="AP21:AQ22"/>
    <mergeCell ref="AP19:AQ20"/>
    <mergeCell ref="AP17:AQ18"/>
    <mergeCell ref="N34:P35"/>
    <mergeCell ref="N38:P39"/>
    <mergeCell ref="N36:P37"/>
    <mergeCell ref="D24:F25"/>
    <mergeCell ref="D38:F39"/>
    <mergeCell ref="D36:F37"/>
    <mergeCell ref="D34:F35"/>
    <mergeCell ref="D32:F33"/>
    <mergeCell ref="D30:F31"/>
    <mergeCell ref="D28:F29"/>
    <mergeCell ref="K36:M37"/>
    <mergeCell ref="H34:J35"/>
    <mergeCell ref="H36:J37"/>
    <mergeCell ref="H24:J25"/>
    <mergeCell ref="H26:J27"/>
    <mergeCell ref="H28:J29"/>
    <mergeCell ref="H30:J31"/>
    <mergeCell ref="R24:X25"/>
    <mergeCell ref="K38:M39"/>
    <mergeCell ref="S42:U43"/>
    <mergeCell ref="O42:Q43"/>
    <mergeCell ref="V42:X43"/>
    <mergeCell ref="B42:N43"/>
    <mergeCell ref="B38:C39"/>
    <mergeCell ref="H32:J33"/>
    <mergeCell ref="D26:F27"/>
    <mergeCell ref="K34:M35"/>
    <mergeCell ref="M4:P5"/>
    <mergeCell ref="U4:X5"/>
    <mergeCell ref="B8:E9"/>
    <mergeCell ref="N8:P9"/>
    <mergeCell ref="E4:H5"/>
    <mergeCell ref="B6:D7"/>
    <mergeCell ref="N6:P7"/>
    <mergeCell ref="E6:M7"/>
    <mergeCell ref="Q4:T5"/>
    <mergeCell ref="B58:N59"/>
    <mergeCell ref="B56:N57"/>
    <mergeCell ref="R26:X27"/>
    <mergeCell ref="R30:X31"/>
    <mergeCell ref="R34:X35"/>
    <mergeCell ref="R38:X39"/>
    <mergeCell ref="R36:X37"/>
    <mergeCell ref="R32:X33"/>
    <mergeCell ref="R28:X29"/>
    <mergeCell ref="V46:X47"/>
    <mergeCell ref="AN39:AO40"/>
    <mergeCell ref="AN37:AO38"/>
    <mergeCell ref="B52:N53"/>
    <mergeCell ref="B50:N51"/>
    <mergeCell ref="S48:U49"/>
    <mergeCell ref="S50:U51"/>
    <mergeCell ref="S44:U45"/>
    <mergeCell ref="B44:N45"/>
    <mergeCell ref="B46:N47"/>
    <mergeCell ref="B48:N49"/>
    <mergeCell ref="AC7:AJ8"/>
    <mergeCell ref="AN35:AO36"/>
    <mergeCell ref="AN33:AO34"/>
    <mergeCell ref="AN31:AO32"/>
    <mergeCell ref="AN29:AO30"/>
    <mergeCell ref="AN27:AO28"/>
    <mergeCell ref="AN25:AO26"/>
    <mergeCell ref="AN23:AO24"/>
    <mergeCell ref="AN21:AO22"/>
    <mergeCell ref="AN19:AO20"/>
    <mergeCell ref="AC15:AJ16"/>
    <mergeCell ref="AC13:AJ14"/>
    <mergeCell ref="AC43:AJ44"/>
    <mergeCell ref="AC41:AJ42"/>
    <mergeCell ref="AC39:AJ40"/>
    <mergeCell ref="AC37:AJ38"/>
    <mergeCell ref="AC35:AJ36"/>
    <mergeCell ref="AC17:AJ18"/>
    <mergeCell ref="AC9:AJ10"/>
    <mergeCell ref="AC11:AJ12"/>
    <mergeCell ref="AC33:AJ34"/>
    <mergeCell ref="AC31:AJ32"/>
    <mergeCell ref="AC29:AJ30"/>
    <mergeCell ref="AC27:AJ28"/>
    <mergeCell ref="AC25:AJ26"/>
    <mergeCell ref="AC23:AJ24"/>
    <mergeCell ref="AC21:AJ22"/>
    <mergeCell ref="AC19:AJ20"/>
    <mergeCell ref="AK5:AL6"/>
    <mergeCell ref="AN7:AO8"/>
    <mergeCell ref="AK7:AL8"/>
    <mergeCell ref="AN17:AO18"/>
    <mergeCell ref="AN15:AO16"/>
    <mergeCell ref="AN13:AO14"/>
    <mergeCell ref="AN11:AO12"/>
    <mergeCell ref="AN9:AO10"/>
    <mergeCell ref="AN5:AO6"/>
    <mergeCell ref="AK15:AL16"/>
    <mergeCell ref="AP33:AQ34"/>
    <mergeCell ref="AP31:AQ32"/>
    <mergeCell ref="AP27:AQ28"/>
    <mergeCell ref="AP29:AQ30"/>
    <mergeCell ref="V50:X51"/>
    <mergeCell ref="V48:X49"/>
    <mergeCell ref="AP5:AQ6"/>
    <mergeCell ref="AP7:AQ8"/>
    <mergeCell ref="AP43:AQ44"/>
    <mergeCell ref="AP41:AQ42"/>
    <mergeCell ref="AP39:AQ40"/>
    <mergeCell ref="AP37:AQ38"/>
    <mergeCell ref="AP35:AQ36"/>
    <mergeCell ref="M20:X21"/>
    <mergeCell ref="S46:U47"/>
    <mergeCell ref="S58:U59"/>
    <mergeCell ref="S56:U57"/>
    <mergeCell ref="S54:U55"/>
    <mergeCell ref="S52:U53"/>
    <mergeCell ref="M14:R15"/>
    <mergeCell ref="S14:X15"/>
    <mergeCell ref="S16:X17"/>
    <mergeCell ref="M16:R17"/>
    <mergeCell ref="B14:F15"/>
    <mergeCell ref="G14:L15"/>
    <mergeCell ref="B16:F17"/>
    <mergeCell ref="G16:L17"/>
    <mergeCell ref="G18:L19"/>
    <mergeCell ref="G20:L21"/>
    <mergeCell ref="B18:F19"/>
    <mergeCell ref="B20:F21"/>
    <mergeCell ref="M18:X19"/>
    <mergeCell ref="B2:H3"/>
    <mergeCell ref="I2:X3"/>
    <mergeCell ref="B10:G11"/>
    <mergeCell ref="H10:X11"/>
    <mergeCell ref="Q6:X7"/>
    <mergeCell ref="F8:M9"/>
    <mergeCell ref="Q8:X9"/>
    <mergeCell ref="B4:D5"/>
    <mergeCell ref="I4:L5"/>
    <mergeCell ref="B28:C29"/>
    <mergeCell ref="B24:C25"/>
    <mergeCell ref="K24:M25"/>
    <mergeCell ref="N24:P25"/>
    <mergeCell ref="N26:P27"/>
    <mergeCell ref="B26:C27"/>
    <mergeCell ref="K26:M27"/>
    <mergeCell ref="K28:M29"/>
    <mergeCell ref="N28:P29"/>
    <mergeCell ref="N30:P31"/>
    <mergeCell ref="B32:C33"/>
    <mergeCell ref="K30:M31"/>
    <mergeCell ref="K32:M33"/>
    <mergeCell ref="N32:P33"/>
    <mergeCell ref="B30:C31"/>
    <mergeCell ref="B34:C35"/>
    <mergeCell ref="B36:C37"/>
    <mergeCell ref="S66:U67"/>
    <mergeCell ref="S62:U63"/>
    <mergeCell ref="S60:U61"/>
    <mergeCell ref="O62:Q63"/>
    <mergeCell ref="O46:Q47"/>
    <mergeCell ref="O48:Q49"/>
    <mergeCell ref="O52:Q53"/>
    <mergeCell ref="O44:Q45"/>
    <mergeCell ref="AN43:AO44"/>
    <mergeCell ref="AN41:AO42"/>
    <mergeCell ref="V66:X67"/>
    <mergeCell ref="V64:X65"/>
    <mergeCell ref="V62:X63"/>
    <mergeCell ref="V60:X61"/>
    <mergeCell ref="V44:X45"/>
    <mergeCell ref="V58:X59"/>
    <mergeCell ref="V56:X57"/>
    <mergeCell ref="V54:X55"/>
    <mergeCell ref="O58:Q59"/>
    <mergeCell ref="B66:N67"/>
    <mergeCell ref="B64:N65"/>
    <mergeCell ref="AP25:AQ26"/>
    <mergeCell ref="AK43:AL44"/>
    <mergeCell ref="AK41:AL42"/>
    <mergeCell ref="AK39:AL40"/>
    <mergeCell ref="AK37:AL38"/>
    <mergeCell ref="AK35:AL36"/>
    <mergeCell ref="AK33:AL34"/>
    <mergeCell ref="H38:J39"/>
    <mergeCell ref="O50:Q51"/>
    <mergeCell ref="O54:Q55"/>
    <mergeCell ref="O56:Q57"/>
    <mergeCell ref="B54:N55"/>
    <mergeCell ref="W111:Y113"/>
    <mergeCell ref="O60:Q61"/>
    <mergeCell ref="O64:Q65"/>
    <mergeCell ref="O66:Q67"/>
    <mergeCell ref="S64:U65"/>
    <mergeCell ref="X82:Y83"/>
    <mergeCell ref="M77:S78"/>
    <mergeCell ref="Q93:U94"/>
    <mergeCell ref="Q84:S85"/>
    <mergeCell ref="K90:P92"/>
    <mergeCell ref="Q103:R104"/>
    <mergeCell ref="B114:B116"/>
    <mergeCell ref="C114:P116"/>
    <mergeCell ref="Q114:S116"/>
    <mergeCell ref="B111:B113"/>
    <mergeCell ref="C111:P113"/>
    <mergeCell ref="Q111:S113"/>
    <mergeCell ref="B103:I104"/>
    <mergeCell ref="K103:P104"/>
    <mergeCell ref="Z129:AB131"/>
    <mergeCell ref="Q120:S122"/>
    <mergeCell ref="T120:V122"/>
    <mergeCell ref="W120:Y122"/>
    <mergeCell ref="Z120:AB122"/>
    <mergeCell ref="T123:V125"/>
    <mergeCell ref="W123:Y125"/>
    <mergeCell ref="Q123:S125"/>
    <mergeCell ref="W126:Y128"/>
    <mergeCell ref="Z126:AB128"/>
  </mergeCells>
  <conditionalFormatting sqref="R26">
    <cfRule type="expression" priority="1" dxfId="0" stopIfTrue="1">
      <formula>$R$26&lt;$S$44/2</formula>
    </cfRule>
    <cfRule type="expression" priority="2" dxfId="1" stopIfTrue="1">
      <formula>$R$26&lt;$S$44/4</formula>
    </cfRule>
  </conditionalFormatting>
  <printOptions horizontalCentered="1"/>
  <pageMargins left="0.25" right="0.25" top="0.75" bottom="0.25" header="0.25" footer="0.25"/>
  <pageSetup fitToHeight="1" fitToWidth="1" horizontalDpi="600" verticalDpi="600" orientation="landscape" scale="51" r:id="rId3"/>
  <headerFooter alignWithMargins="0">
    <oddHeader>&amp;C&amp;20FALLOUT PNP RPG - ЛИСТ ПЕРСОНАЖА - ЧАСТЬ 1</oddHead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32"/>
  <sheetViews>
    <sheetView showGridLines="0" zoomScale="92" zoomScaleNormal="92" workbookViewId="0" topLeftCell="A1">
      <selection activeCell="Z15" sqref="Z15"/>
    </sheetView>
  </sheetViews>
  <sheetFormatPr defaultColWidth="9.140625" defaultRowHeight="7.5" customHeight="1"/>
  <cols>
    <col min="1" max="5" width="2.7109375" style="10" customWidth="1"/>
    <col min="6" max="6" width="2.7109375" style="11" customWidth="1"/>
    <col min="7" max="48" width="2.7109375" style="10" customWidth="1"/>
    <col min="49" max="49" width="3.7109375" style="10" customWidth="1"/>
    <col min="50" max="51" width="2.7109375" style="10" customWidth="1"/>
    <col min="52" max="52" width="3.8515625" style="10" customWidth="1"/>
    <col min="53" max="16384" width="2.7109375" style="10" customWidth="1"/>
  </cols>
  <sheetData>
    <row r="1" spans="1:81" ht="7.5" customHeight="1" thickBot="1">
      <c r="A1" s="9"/>
      <c r="B1" s="12"/>
      <c r="C1" s="12"/>
      <c r="D1" s="12"/>
      <c r="E1" s="12"/>
      <c r="F1" s="27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8"/>
      <c r="Z1" s="34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39"/>
      <c r="AU1" s="12"/>
      <c r="AV1" s="12"/>
      <c r="AW1" s="40"/>
      <c r="AX1" s="40"/>
      <c r="AY1" s="40"/>
      <c r="AZ1" s="40"/>
      <c r="BA1" s="40"/>
      <c r="BB1" s="40"/>
      <c r="BC1" s="40"/>
      <c r="BD1" s="40"/>
      <c r="BE1" s="12"/>
      <c r="BF1" s="12"/>
      <c r="BG1" s="12"/>
      <c r="BH1" s="40"/>
      <c r="BI1" s="40"/>
      <c r="BJ1" s="12"/>
      <c r="BK1" s="12"/>
      <c r="BL1" s="12"/>
      <c r="BM1" s="12"/>
      <c r="BN1" s="12"/>
      <c r="BO1" s="12"/>
      <c r="BP1" s="12"/>
      <c r="BQ1" s="28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</row>
    <row r="2" spans="1:70" ht="7.5" customHeight="1" thickBot="1">
      <c r="A2" s="16"/>
      <c r="B2" s="484" t="s">
        <v>64</v>
      </c>
      <c r="C2" s="484"/>
      <c r="D2" s="484"/>
      <c r="E2" s="484"/>
      <c r="F2" s="484"/>
      <c r="G2" s="484"/>
      <c r="H2" s="484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29"/>
      <c r="Z2" s="19"/>
      <c r="AA2" s="189" t="s">
        <v>931</v>
      </c>
      <c r="AB2" s="190"/>
      <c r="AC2" s="190"/>
      <c r="AD2" s="190"/>
      <c r="AE2" s="190"/>
      <c r="AF2" s="193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5"/>
      <c r="AS2" s="13"/>
      <c r="AT2" s="13"/>
      <c r="AU2" s="13"/>
      <c r="AV2" s="13"/>
      <c r="AW2" s="13"/>
      <c r="AX2" s="14"/>
      <c r="AY2" s="14"/>
      <c r="AZ2" s="14"/>
      <c r="BA2" s="14"/>
      <c r="BB2" s="14"/>
      <c r="BC2" s="13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3"/>
      <c r="BQ2" s="29"/>
      <c r="BR2" s="13"/>
    </row>
    <row r="3" spans="1:70" ht="7.5" customHeight="1" thickBot="1">
      <c r="A3" s="16"/>
      <c r="B3" s="484"/>
      <c r="C3" s="484"/>
      <c r="D3" s="484"/>
      <c r="E3" s="484"/>
      <c r="F3" s="484"/>
      <c r="G3" s="484"/>
      <c r="H3" s="484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29"/>
      <c r="Z3" s="19"/>
      <c r="AA3" s="191"/>
      <c r="AB3" s="192"/>
      <c r="AC3" s="192"/>
      <c r="AD3" s="192"/>
      <c r="AE3" s="192"/>
      <c r="AF3" s="182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4"/>
      <c r="AS3" s="13"/>
      <c r="AT3" s="415" t="s">
        <v>274</v>
      </c>
      <c r="AU3" s="416"/>
      <c r="AV3" s="13"/>
      <c r="AW3" s="423" t="s">
        <v>305</v>
      </c>
      <c r="AX3" s="424"/>
      <c r="AY3" s="425"/>
      <c r="AZ3" s="14"/>
      <c r="BA3" s="423" t="s">
        <v>113</v>
      </c>
      <c r="BB3" s="424"/>
      <c r="BC3" s="424"/>
      <c r="BD3" s="424"/>
      <c r="BE3" s="424"/>
      <c r="BF3" s="424"/>
      <c r="BG3" s="425"/>
      <c r="BH3" s="14"/>
      <c r="BI3" s="423" t="s">
        <v>306</v>
      </c>
      <c r="BJ3" s="424"/>
      <c r="BK3" s="424"/>
      <c r="BL3" s="424"/>
      <c r="BM3" s="424"/>
      <c r="BN3" s="424"/>
      <c r="BO3" s="425"/>
      <c r="BP3" s="13"/>
      <c r="BQ3" s="29"/>
      <c r="BR3" s="13"/>
    </row>
    <row r="4" spans="1:70" ht="7.5" customHeight="1" thickBot="1">
      <c r="A4" s="16"/>
      <c r="B4" s="377" t="s">
        <v>65</v>
      </c>
      <c r="C4" s="377"/>
      <c r="D4" s="377"/>
      <c r="E4" s="227"/>
      <c r="F4" s="227"/>
      <c r="G4" s="227"/>
      <c r="H4" s="227"/>
      <c r="I4" s="377" t="s">
        <v>66</v>
      </c>
      <c r="J4" s="377"/>
      <c r="K4" s="377"/>
      <c r="L4" s="377"/>
      <c r="M4" s="413"/>
      <c r="N4" s="413"/>
      <c r="O4" s="413"/>
      <c r="P4" s="413"/>
      <c r="Q4" s="377" t="s">
        <v>70</v>
      </c>
      <c r="R4" s="377"/>
      <c r="S4" s="377"/>
      <c r="T4" s="377"/>
      <c r="U4" s="413"/>
      <c r="V4" s="413"/>
      <c r="W4" s="413"/>
      <c r="X4" s="413"/>
      <c r="Y4" s="29"/>
      <c r="Z4" s="19"/>
      <c r="AA4" s="15"/>
      <c r="AB4" s="15"/>
      <c r="AC4" s="15"/>
      <c r="AD4" s="15"/>
      <c r="AE4" s="15"/>
      <c r="AF4" s="15"/>
      <c r="AG4" s="15"/>
      <c r="AH4" s="15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417"/>
      <c r="AU4" s="418"/>
      <c r="AV4" s="13"/>
      <c r="AW4" s="426"/>
      <c r="AX4" s="427"/>
      <c r="AY4" s="428"/>
      <c r="AZ4" s="13"/>
      <c r="BA4" s="426"/>
      <c r="BB4" s="427"/>
      <c r="BC4" s="427"/>
      <c r="BD4" s="427"/>
      <c r="BE4" s="427"/>
      <c r="BF4" s="427"/>
      <c r="BG4" s="428"/>
      <c r="BH4" s="13"/>
      <c r="BI4" s="426"/>
      <c r="BJ4" s="427"/>
      <c r="BK4" s="427"/>
      <c r="BL4" s="427"/>
      <c r="BM4" s="427"/>
      <c r="BN4" s="427"/>
      <c r="BO4" s="428"/>
      <c r="BP4" s="13"/>
      <c r="BQ4" s="29"/>
      <c r="BR4" s="13"/>
    </row>
    <row r="5" spans="1:70" ht="7.5" customHeight="1">
      <c r="A5" s="16"/>
      <c r="B5" s="377"/>
      <c r="C5" s="377"/>
      <c r="D5" s="377"/>
      <c r="E5" s="227"/>
      <c r="F5" s="227"/>
      <c r="G5" s="227"/>
      <c r="H5" s="227"/>
      <c r="I5" s="377"/>
      <c r="J5" s="377"/>
      <c r="K5" s="377"/>
      <c r="L5" s="377"/>
      <c r="M5" s="413"/>
      <c r="N5" s="413"/>
      <c r="O5" s="413"/>
      <c r="P5" s="413"/>
      <c r="Q5" s="377"/>
      <c r="R5" s="377"/>
      <c r="S5" s="377"/>
      <c r="T5" s="377"/>
      <c r="U5" s="413"/>
      <c r="V5" s="413"/>
      <c r="W5" s="413"/>
      <c r="X5" s="413"/>
      <c r="Y5" s="29"/>
      <c r="Z5" s="19"/>
      <c r="AA5" s="17"/>
      <c r="AB5" s="17"/>
      <c r="AC5" s="419" t="s">
        <v>73</v>
      </c>
      <c r="AD5" s="420"/>
      <c r="AE5" s="420"/>
      <c r="AF5" s="420"/>
      <c r="AG5" s="420"/>
      <c r="AH5" s="420"/>
      <c r="AI5" s="420"/>
      <c r="AJ5" s="420"/>
      <c r="AK5" s="474" t="s">
        <v>222</v>
      </c>
      <c r="AL5" s="475"/>
      <c r="AM5" s="13"/>
      <c r="AN5" s="415" t="s">
        <v>74</v>
      </c>
      <c r="AO5" s="442"/>
      <c r="AP5" s="479" t="s">
        <v>8</v>
      </c>
      <c r="AQ5" s="416"/>
      <c r="AR5" s="13"/>
      <c r="AS5" s="13"/>
      <c r="AT5" s="409" t="s">
        <v>275</v>
      </c>
      <c r="AU5" s="410"/>
      <c r="AV5" s="13"/>
      <c r="AW5" s="429">
        <f>IF(M20&gt;0,M20*(B16-1),0)</f>
        <v>0</v>
      </c>
      <c r="AX5" s="429"/>
      <c r="AY5" s="429"/>
      <c r="AZ5" s="5"/>
      <c r="BA5" s="431">
        <f>SUM(AX7:AY44,BB7:BC44,BF7:BG44,BJ7:BK44,BN7:BO44)</f>
        <v>0</v>
      </c>
      <c r="BB5" s="431"/>
      <c r="BC5" s="431"/>
      <c r="BD5" s="431"/>
      <c r="BE5" s="431"/>
      <c r="BF5" s="431"/>
      <c r="BG5" s="431"/>
      <c r="BH5" s="5"/>
      <c r="BI5" s="431">
        <f>AW5-BA5</f>
        <v>0</v>
      </c>
      <c r="BJ5" s="431"/>
      <c r="BK5" s="431"/>
      <c r="BL5" s="431"/>
      <c r="BM5" s="431"/>
      <c r="BN5" s="431"/>
      <c r="BO5" s="431"/>
      <c r="BP5" s="13"/>
      <c r="BQ5" s="29"/>
      <c r="BR5" s="13"/>
    </row>
    <row r="6" spans="1:70" ht="9" customHeight="1" thickBot="1">
      <c r="A6" s="16"/>
      <c r="B6" s="377" t="s">
        <v>68</v>
      </c>
      <c r="C6" s="377"/>
      <c r="D6" s="377"/>
      <c r="E6" s="466"/>
      <c r="F6" s="466"/>
      <c r="G6" s="466"/>
      <c r="H6" s="466"/>
      <c r="I6" s="466"/>
      <c r="J6" s="466"/>
      <c r="K6" s="466"/>
      <c r="L6" s="466"/>
      <c r="M6" s="466"/>
      <c r="N6" s="377" t="s">
        <v>69</v>
      </c>
      <c r="O6" s="377"/>
      <c r="P6" s="377"/>
      <c r="Q6" s="407"/>
      <c r="R6" s="407"/>
      <c r="S6" s="407"/>
      <c r="T6" s="407"/>
      <c r="U6" s="407"/>
      <c r="V6" s="407"/>
      <c r="W6" s="407"/>
      <c r="X6" s="407"/>
      <c r="Y6" s="29"/>
      <c r="Z6" s="19"/>
      <c r="AA6" s="17"/>
      <c r="AB6" s="17"/>
      <c r="AC6" s="421"/>
      <c r="AD6" s="422"/>
      <c r="AE6" s="422"/>
      <c r="AF6" s="422"/>
      <c r="AG6" s="422"/>
      <c r="AH6" s="422"/>
      <c r="AI6" s="422"/>
      <c r="AJ6" s="422"/>
      <c r="AK6" s="476"/>
      <c r="AL6" s="477"/>
      <c r="AM6" s="13"/>
      <c r="AN6" s="443"/>
      <c r="AO6" s="444"/>
      <c r="AP6" s="480"/>
      <c r="AQ6" s="418"/>
      <c r="AR6" s="13"/>
      <c r="AS6" s="13"/>
      <c r="AT6" s="411"/>
      <c r="AU6" s="412"/>
      <c r="AV6" s="13"/>
      <c r="AW6" s="430"/>
      <c r="AX6" s="430"/>
      <c r="AY6" s="430"/>
      <c r="AZ6" s="5"/>
      <c r="BA6" s="432"/>
      <c r="BB6" s="432"/>
      <c r="BC6" s="432"/>
      <c r="BD6" s="432"/>
      <c r="BE6" s="432"/>
      <c r="BF6" s="432"/>
      <c r="BG6" s="432"/>
      <c r="BH6" s="5"/>
      <c r="BI6" s="432"/>
      <c r="BJ6" s="432"/>
      <c r="BK6" s="432"/>
      <c r="BL6" s="432"/>
      <c r="BM6" s="432"/>
      <c r="BN6" s="432"/>
      <c r="BO6" s="432"/>
      <c r="BP6" s="13"/>
      <c r="BQ6" s="29"/>
      <c r="BR6" s="13"/>
    </row>
    <row r="7" spans="1:70" ht="8.25" customHeight="1">
      <c r="A7" s="16"/>
      <c r="B7" s="377"/>
      <c r="C7" s="377"/>
      <c r="D7" s="377"/>
      <c r="E7" s="466"/>
      <c r="F7" s="466"/>
      <c r="G7" s="466"/>
      <c r="H7" s="466"/>
      <c r="I7" s="466"/>
      <c r="J7" s="466"/>
      <c r="K7" s="466"/>
      <c r="L7" s="466"/>
      <c r="M7" s="466"/>
      <c r="N7" s="377"/>
      <c r="O7" s="377"/>
      <c r="P7" s="377"/>
      <c r="Q7" s="407"/>
      <c r="R7" s="407"/>
      <c r="S7" s="407"/>
      <c r="T7" s="407"/>
      <c r="U7" s="407"/>
      <c r="V7" s="407"/>
      <c r="W7" s="407"/>
      <c r="X7" s="407"/>
      <c r="Y7" s="29"/>
      <c r="Z7" s="19"/>
      <c r="AA7" s="15"/>
      <c r="AB7" s="15"/>
      <c r="AC7" s="286" t="s">
        <v>256</v>
      </c>
      <c r="AD7" s="286"/>
      <c r="AE7" s="286"/>
      <c r="AF7" s="286"/>
      <c r="AG7" s="286"/>
      <c r="AH7" s="286"/>
      <c r="AI7" s="286"/>
      <c r="AJ7" s="286"/>
      <c r="AK7" s="478">
        <f>SUM(AN7:AQ8)+IF(Таблицы!BA35=1,Таблицы!BA32,0)+AT7</f>
        <v>25</v>
      </c>
      <c r="AL7" s="478"/>
      <c r="AM7" s="13"/>
      <c r="AN7" s="287">
        <f>IF(D36=0,"",5+(D36*4)+Таблицы!M123+Таблицы!U123)</f>
        <v>25</v>
      </c>
      <c r="AO7" s="287"/>
      <c r="AP7" s="481"/>
      <c r="AQ7" s="481"/>
      <c r="AR7" s="13"/>
      <c r="AS7" s="13"/>
      <c r="AT7" s="287">
        <f>IF(Таблицы!M123=20,SUM(AX7*2,BB7*2/2,INT(BF7*2/3),INT(BJ7*2/4),INT(BN7*2/5)),SUM(AX7,INT(BB7/2),INT(BF7/3),INT(BJ7/4),INT(BN7/5)))</f>
        <v>0</v>
      </c>
      <c r="AU7" s="287"/>
      <c r="AV7" s="13"/>
      <c r="AW7" s="433" t="s">
        <v>108</v>
      </c>
      <c r="AX7" s="414"/>
      <c r="AY7" s="414"/>
      <c r="AZ7" s="13"/>
      <c r="BA7" s="433" t="s">
        <v>109</v>
      </c>
      <c r="BB7" s="414"/>
      <c r="BC7" s="414"/>
      <c r="BD7" s="13"/>
      <c r="BE7" s="433" t="s">
        <v>110</v>
      </c>
      <c r="BF7" s="414"/>
      <c r="BG7" s="414"/>
      <c r="BH7" s="13"/>
      <c r="BI7" s="433" t="s">
        <v>111</v>
      </c>
      <c r="BJ7" s="414"/>
      <c r="BK7" s="414"/>
      <c r="BL7" s="13"/>
      <c r="BM7" s="433" t="s">
        <v>112</v>
      </c>
      <c r="BN7" s="414"/>
      <c r="BO7" s="414"/>
      <c r="BP7" s="13"/>
      <c r="BQ7" s="29"/>
      <c r="BR7" s="13"/>
    </row>
    <row r="8" spans="1:70" ht="7.5" customHeight="1">
      <c r="A8" s="16"/>
      <c r="B8" s="377" t="s">
        <v>71</v>
      </c>
      <c r="C8" s="377"/>
      <c r="D8" s="377"/>
      <c r="E8" s="377"/>
      <c r="F8" s="466"/>
      <c r="G8" s="466"/>
      <c r="H8" s="466"/>
      <c r="I8" s="466"/>
      <c r="J8" s="466"/>
      <c r="K8" s="466"/>
      <c r="L8" s="466"/>
      <c r="M8" s="466"/>
      <c r="N8" s="377" t="s">
        <v>67</v>
      </c>
      <c r="O8" s="377"/>
      <c r="P8" s="377"/>
      <c r="Q8" s="466"/>
      <c r="R8" s="466"/>
      <c r="S8" s="466"/>
      <c r="T8" s="466"/>
      <c r="U8" s="466"/>
      <c r="V8" s="466"/>
      <c r="W8" s="466"/>
      <c r="X8" s="466"/>
      <c r="Y8" s="29"/>
      <c r="Z8" s="19"/>
      <c r="AA8" s="15"/>
      <c r="AB8" s="15"/>
      <c r="AC8" s="172"/>
      <c r="AD8" s="172"/>
      <c r="AE8" s="172"/>
      <c r="AF8" s="172"/>
      <c r="AG8" s="172"/>
      <c r="AH8" s="172"/>
      <c r="AI8" s="172"/>
      <c r="AJ8" s="172"/>
      <c r="AK8" s="435"/>
      <c r="AL8" s="435"/>
      <c r="AM8" s="13"/>
      <c r="AN8" s="228"/>
      <c r="AO8" s="228"/>
      <c r="AP8" s="436"/>
      <c r="AQ8" s="436"/>
      <c r="AR8" s="15"/>
      <c r="AS8" s="15"/>
      <c r="AT8" s="228"/>
      <c r="AU8" s="228"/>
      <c r="AV8" s="13"/>
      <c r="AW8" s="434"/>
      <c r="AX8" s="413"/>
      <c r="AY8" s="413"/>
      <c r="AZ8" s="13"/>
      <c r="BA8" s="434"/>
      <c r="BB8" s="413"/>
      <c r="BC8" s="413"/>
      <c r="BD8" s="13"/>
      <c r="BE8" s="434"/>
      <c r="BF8" s="413"/>
      <c r="BG8" s="413"/>
      <c r="BH8" s="13"/>
      <c r="BI8" s="434"/>
      <c r="BJ8" s="413"/>
      <c r="BK8" s="413"/>
      <c r="BL8" s="13"/>
      <c r="BM8" s="434"/>
      <c r="BN8" s="413"/>
      <c r="BO8" s="413"/>
      <c r="BP8" s="13"/>
      <c r="BQ8" s="29"/>
      <c r="BR8" s="13"/>
    </row>
    <row r="9" spans="1:70" ht="7.5" customHeight="1">
      <c r="A9" s="16"/>
      <c r="B9" s="377"/>
      <c r="C9" s="377"/>
      <c r="D9" s="377"/>
      <c r="E9" s="377"/>
      <c r="F9" s="466"/>
      <c r="G9" s="466"/>
      <c r="H9" s="466"/>
      <c r="I9" s="466"/>
      <c r="J9" s="466"/>
      <c r="K9" s="466"/>
      <c r="L9" s="466"/>
      <c r="M9" s="466"/>
      <c r="N9" s="377"/>
      <c r="O9" s="377"/>
      <c r="P9" s="377"/>
      <c r="Q9" s="466"/>
      <c r="R9" s="466"/>
      <c r="S9" s="466"/>
      <c r="T9" s="466"/>
      <c r="U9" s="466"/>
      <c r="V9" s="466"/>
      <c r="W9" s="466"/>
      <c r="X9" s="466"/>
      <c r="Y9" s="29"/>
      <c r="Z9" s="19"/>
      <c r="AA9" s="15"/>
      <c r="AB9" s="15"/>
      <c r="AC9" s="172" t="s">
        <v>255</v>
      </c>
      <c r="AD9" s="172"/>
      <c r="AE9" s="172"/>
      <c r="AF9" s="172"/>
      <c r="AG9" s="172"/>
      <c r="AH9" s="172"/>
      <c r="AI9" s="172"/>
      <c r="AJ9" s="172"/>
      <c r="AK9" s="435">
        <f>SUM(AN9:AQ10)+IF(Таблицы!BA35=2,Таблицы!BA32,0)+AT9</f>
        <v>10</v>
      </c>
      <c r="AL9" s="435"/>
      <c r="AM9" s="13"/>
      <c r="AN9" s="228">
        <f>IF(D36=0,"",(D36*2)+Таблицы!M124+Таблицы!U124)</f>
        <v>10</v>
      </c>
      <c r="AO9" s="228"/>
      <c r="AP9" s="436"/>
      <c r="AQ9" s="436"/>
      <c r="AR9" s="13"/>
      <c r="AS9" s="13"/>
      <c r="AT9" s="287">
        <f>IF(Таблицы!M124=20,SUM(AX9*2,BB9*2/2,INT(BF9*2/3),INT(BJ9*2/4),INT(BN9*2/5)),SUM(AX9,INT(BB9/2),INT(BF9/3),INT(BJ9/4),INT(BN9/5)))</f>
        <v>0</v>
      </c>
      <c r="AU9" s="287"/>
      <c r="AV9" s="13"/>
      <c r="AW9" s="434"/>
      <c r="AX9" s="413"/>
      <c r="AY9" s="413"/>
      <c r="AZ9" s="13"/>
      <c r="BA9" s="434"/>
      <c r="BB9" s="413"/>
      <c r="BC9" s="413"/>
      <c r="BD9" s="13"/>
      <c r="BE9" s="434"/>
      <c r="BF9" s="413"/>
      <c r="BG9" s="413"/>
      <c r="BH9" s="13"/>
      <c r="BI9" s="434"/>
      <c r="BJ9" s="413"/>
      <c r="BK9" s="413"/>
      <c r="BL9" s="13"/>
      <c r="BM9" s="434"/>
      <c r="BN9" s="413"/>
      <c r="BO9" s="413"/>
      <c r="BP9" s="13"/>
      <c r="BQ9" s="29"/>
      <c r="BR9" s="13"/>
    </row>
    <row r="10" spans="1:70" ht="7.5" customHeight="1">
      <c r="A10" s="16"/>
      <c r="B10" s="377" t="s">
        <v>221</v>
      </c>
      <c r="C10" s="377"/>
      <c r="D10" s="377"/>
      <c r="E10" s="377"/>
      <c r="F10" s="377"/>
      <c r="G10" s="377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29"/>
      <c r="Z10" s="19"/>
      <c r="AA10" s="15"/>
      <c r="AB10" s="15"/>
      <c r="AC10" s="172"/>
      <c r="AD10" s="172"/>
      <c r="AE10" s="172"/>
      <c r="AF10" s="172"/>
      <c r="AG10" s="172"/>
      <c r="AH10" s="172"/>
      <c r="AI10" s="172"/>
      <c r="AJ10" s="172"/>
      <c r="AK10" s="435"/>
      <c r="AL10" s="435"/>
      <c r="AM10" s="13"/>
      <c r="AN10" s="228"/>
      <c r="AO10" s="228"/>
      <c r="AP10" s="436"/>
      <c r="AQ10" s="436"/>
      <c r="AR10" s="15"/>
      <c r="AS10" s="13"/>
      <c r="AT10" s="228"/>
      <c r="AU10" s="228"/>
      <c r="AV10" s="13"/>
      <c r="AW10" s="434"/>
      <c r="AX10" s="413"/>
      <c r="AY10" s="413"/>
      <c r="AZ10" s="13"/>
      <c r="BA10" s="434"/>
      <c r="BB10" s="413"/>
      <c r="BC10" s="413"/>
      <c r="BD10" s="13"/>
      <c r="BE10" s="434"/>
      <c r="BF10" s="413"/>
      <c r="BG10" s="413"/>
      <c r="BH10" s="13"/>
      <c r="BI10" s="434"/>
      <c r="BJ10" s="413"/>
      <c r="BK10" s="413"/>
      <c r="BL10" s="13"/>
      <c r="BM10" s="434"/>
      <c r="BN10" s="413"/>
      <c r="BO10" s="413"/>
      <c r="BP10" s="13"/>
      <c r="BQ10" s="29"/>
      <c r="BR10" s="13"/>
    </row>
    <row r="11" spans="1:70" ht="7.5" customHeight="1">
      <c r="A11" s="16"/>
      <c r="B11" s="377"/>
      <c r="C11" s="377"/>
      <c r="D11" s="377"/>
      <c r="E11" s="377"/>
      <c r="F11" s="377"/>
      <c r="G11" s="377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29"/>
      <c r="Z11" s="19"/>
      <c r="AA11" s="15"/>
      <c r="AB11" s="15"/>
      <c r="AC11" s="172" t="s">
        <v>77</v>
      </c>
      <c r="AD11" s="172"/>
      <c r="AE11" s="172"/>
      <c r="AF11" s="172"/>
      <c r="AG11" s="172"/>
      <c r="AH11" s="172"/>
      <c r="AI11" s="172"/>
      <c r="AJ11" s="172"/>
      <c r="AK11" s="435">
        <f>SUM(AN11:AQ12)+IF(Таблицы!BA35=3,Таблицы!BA32,0)+AT11</f>
        <v>10</v>
      </c>
      <c r="AL11" s="435"/>
      <c r="AM11" s="13"/>
      <c r="AN11" s="228">
        <f>IF(D36=0,"",(D36*2)+Таблицы!M125+Таблицы!U125)</f>
        <v>10</v>
      </c>
      <c r="AO11" s="228"/>
      <c r="AP11" s="436"/>
      <c r="AQ11" s="436"/>
      <c r="AR11" s="13"/>
      <c r="AS11" s="13"/>
      <c r="AT11" s="287">
        <f>IF(Таблицы!M125=20,SUM(AX11*2,BB11*2/2,INT(BF11*2/3),INT(BJ11*2/4),INT(BN11*2/5)),SUM(AX11,INT(BB11/2),INT(BF11/3),INT(BJ11/4),INT(BN11/5)))</f>
        <v>0</v>
      </c>
      <c r="AU11" s="287"/>
      <c r="AV11" s="13"/>
      <c r="AW11" s="434"/>
      <c r="AX11" s="413"/>
      <c r="AY11" s="413"/>
      <c r="AZ11" s="13"/>
      <c r="BA11" s="434"/>
      <c r="BB11" s="413"/>
      <c r="BC11" s="413"/>
      <c r="BD11" s="13"/>
      <c r="BE11" s="434"/>
      <c r="BF11" s="413"/>
      <c r="BG11" s="413"/>
      <c r="BH11" s="13"/>
      <c r="BI11" s="434"/>
      <c r="BJ11" s="413"/>
      <c r="BK11" s="413"/>
      <c r="BL11" s="13"/>
      <c r="BM11" s="434"/>
      <c r="BN11" s="413"/>
      <c r="BO11" s="413"/>
      <c r="BP11" s="13"/>
      <c r="BQ11" s="29"/>
      <c r="BR11" s="13"/>
    </row>
    <row r="12" spans="1:70" ht="7.5" customHeight="1">
      <c r="A12" s="69"/>
      <c r="B12" s="46"/>
      <c r="C12" s="46"/>
      <c r="D12" s="46"/>
      <c r="E12" s="46"/>
      <c r="F12" s="68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70"/>
      <c r="Z12" s="41"/>
      <c r="AA12" s="15"/>
      <c r="AB12" s="15"/>
      <c r="AC12" s="172"/>
      <c r="AD12" s="172"/>
      <c r="AE12" s="172"/>
      <c r="AF12" s="172"/>
      <c r="AG12" s="172"/>
      <c r="AH12" s="172"/>
      <c r="AI12" s="172"/>
      <c r="AJ12" s="172"/>
      <c r="AK12" s="435"/>
      <c r="AL12" s="435"/>
      <c r="AM12" s="13"/>
      <c r="AN12" s="228"/>
      <c r="AO12" s="228"/>
      <c r="AP12" s="436"/>
      <c r="AQ12" s="436"/>
      <c r="AR12" s="15"/>
      <c r="AS12" s="13"/>
      <c r="AT12" s="228"/>
      <c r="AU12" s="228"/>
      <c r="AV12" s="13"/>
      <c r="AW12" s="434"/>
      <c r="AX12" s="413"/>
      <c r="AY12" s="413"/>
      <c r="AZ12" s="13"/>
      <c r="BA12" s="434"/>
      <c r="BB12" s="413"/>
      <c r="BC12" s="413"/>
      <c r="BD12" s="13"/>
      <c r="BE12" s="434"/>
      <c r="BF12" s="413"/>
      <c r="BG12" s="413"/>
      <c r="BH12" s="13"/>
      <c r="BI12" s="434"/>
      <c r="BJ12" s="413"/>
      <c r="BK12" s="413"/>
      <c r="BL12" s="13"/>
      <c r="BM12" s="434"/>
      <c r="BN12" s="413"/>
      <c r="BO12" s="413"/>
      <c r="BP12" s="13"/>
      <c r="BQ12" s="29"/>
      <c r="BR12" s="13"/>
    </row>
    <row r="13" spans="1:70" ht="7.5" customHeight="1" thickBot="1">
      <c r="A13" s="16"/>
      <c r="B13" s="13"/>
      <c r="C13" s="13"/>
      <c r="D13" s="13"/>
      <c r="E13" s="13"/>
      <c r="F13" s="35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36"/>
      <c r="Z13" s="41"/>
      <c r="AA13" s="15"/>
      <c r="AB13" s="15"/>
      <c r="AC13" s="172" t="s">
        <v>76</v>
      </c>
      <c r="AD13" s="172"/>
      <c r="AE13" s="172"/>
      <c r="AF13" s="172"/>
      <c r="AG13" s="172"/>
      <c r="AH13" s="172"/>
      <c r="AI13" s="172"/>
      <c r="AJ13" s="172"/>
      <c r="AK13" s="435">
        <f>SUM(AN13:AQ14)+IF(Таблицы!BA35=4,Таблицы!BA32,0)+AT13</f>
        <v>50</v>
      </c>
      <c r="AL13" s="435"/>
      <c r="AM13" s="13"/>
      <c r="AN13" s="228">
        <f>IF(D36=0,"",30+(2*SUM(D36,D26)+Таблицы!M126+Таблицы!U126))</f>
        <v>50</v>
      </c>
      <c r="AO13" s="228"/>
      <c r="AP13" s="436"/>
      <c r="AQ13" s="436"/>
      <c r="AR13" s="13"/>
      <c r="AS13" s="13"/>
      <c r="AT13" s="287">
        <f>IF(Таблицы!M126=20,SUM(AX13*2,BB13*2/2,INT(BF13*2/3),INT(BJ13*2/4),INT(BN13*2/5)),SUM(AX13,INT(BB13/2),INT(BF13/3),INT(BJ13/4),INT(BN13/5)))</f>
        <v>0</v>
      </c>
      <c r="AU13" s="287"/>
      <c r="AV13" s="13"/>
      <c r="AW13" s="434"/>
      <c r="AX13" s="413"/>
      <c r="AY13" s="413"/>
      <c r="AZ13" s="13"/>
      <c r="BA13" s="434"/>
      <c r="BB13" s="413"/>
      <c r="BC13" s="413"/>
      <c r="BD13" s="13"/>
      <c r="BE13" s="434"/>
      <c r="BF13" s="413"/>
      <c r="BG13" s="413"/>
      <c r="BH13" s="13"/>
      <c r="BI13" s="434"/>
      <c r="BJ13" s="413"/>
      <c r="BK13" s="413"/>
      <c r="BL13" s="13"/>
      <c r="BM13" s="434"/>
      <c r="BN13" s="413"/>
      <c r="BO13" s="413"/>
      <c r="BP13" s="13"/>
      <c r="BQ13" s="29"/>
      <c r="BR13" s="13"/>
    </row>
    <row r="14" spans="1:70" ht="7.5" customHeight="1">
      <c r="A14" s="16"/>
      <c r="B14" s="448" t="s">
        <v>58</v>
      </c>
      <c r="C14" s="449"/>
      <c r="D14" s="449"/>
      <c r="E14" s="449"/>
      <c r="F14" s="449"/>
      <c r="G14" s="449" t="s">
        <v>59</v>
      </c>
      <c r="H14" s="449"/>
      <c r="I14" s="449"/>
      <c r="J14" s="449"/>
      <c r="K14" s="449"/>
      <c r="L14" s="449"/>
      <c r="M14" s="449" t="s">
        <v>60</v>
      </c>
      <c r="N14" s="449"/>
      <c r="O14" s="449"/>
      <c r="P14" s="449"/>
      <c r="Q14" s="449"/>
      <c r="R14" s="449"/>
      <c r="S14" s="449" t="s">
        <v>61</v>
      </c>
      <c r="T14" s="449"/>
      <c r="U14" s="449"/>
      <c r="V14" s="449"/>
      <c r="W14" s="449"/>
      <c r="X14" s="450"/>
      <c r="Y14" s="29"/>
      <c r="Z14" s="19"/>
      <c r="AA14" s="15"/>
      <c r="AB14" s="15"/>
      <c r="AC14" s="172"/>
      <c r="AD14" s="172"/>
      <c r="AE14" s="172"/>
      <c r="AF14" s="172"/>
      <c r="AG14" s="172"/>
      <c r="AH14" s="172"/>
      <c r="AI14" s="172"/>
      <c r="AJ14" s="172"/>
      <c r="AK14" s="435"/>
      <c r="AL14" s="435"/>
      <c r="AM14" s="13"/>
      <c r="AN14" s="228"/>
      <c r="AO14" s="228"/>
      <c r="AP14" s="436"/>
      <c r="AQ14" s="436"/>
      <c r="AR14" s="15"/>
      <c r="AS14" s="13"/>
      <c r="AT14" s="228"/>
      <c r="AU14" s="228"/>
      <c r="AV14" s="13"/>
      <c r="AW14" s="434"/>
      <c r="AX14" s="413"/>
      <c r="AY14" s="413"/>
      <c r="AZ14" s="13"/>
      <c r="BA14" s="434"/>
      <c r="BB14" s="413"/>
      <c r="BC14" s="413"/>
      <c r="BD14" s="13"/>
      <c r="BE14" s="434"/>
      <c r="BF14" s="413"/>
      <c r="BG14" s="413"/>
      <c r="BH14" s="13"/>
      <c r="BI14" s="434"/>
      <c r="BJ14" s="413"/>
      <c r="BK14" s="413"/>
      <c r="BL14" s="13"/>
      <c r="BM14" s="434"/>
      <c r="BN14" s="413"/>
      <c r="BO14" s="413"/>
      <c r="BP14" s="13"/>
      <c r="BQ14" s="29"/>
      <c r="BR14" s="13"/>
    </row>
    <row r="15" spans="1:70" ht="7.5" customHeight="1" thickBot="1">
      <c r="A15" s="16"/>
      <c r="B15" s="451"/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3"/>
      <c r="Y15" s="29"/>
      <c r="Z15" s="19"/>
      <c r="AA15" s="15"/>
      <c r="AB15" s="15"/>
      <c r="AC15" s="172" t="s">
        <v>78</v>
      </c>
      <c r="AD15" s="172"/>
      <c r="AE15" s="172"/>
      <c r="AF15" s="172"/>
      <c r="AG15" s="172"/>
      <c r="AH15" s="172"/>
      <c r="AI15" s="172"/>
      <c r="AJ15" s="172"/>
      <c r="AK15" s="435">
        <f>SUM(AN15:AQ16)+IF(Таблицы!BA35=5,Таблицы!BA32,0)+AT15</f>
        <v>40</v>
      </c>
      <c r="AL15" s="435"/>
      <c r="AM15" s="13"/>
      <c r="AN15" s="228">
        <f>IF(D36=0,"",20+(2*SUM(D36,D26)+Таблицы!M127+Таблицы!U127))</f>
        <v>40</v>
      </c>
      <c r="AO15" s="228"/>
      <c r="AP15" s="436"/>
      <c r="AQ15" s="436"/>
      <c r="AR15" s="13"/>
      <c r="AS15" s="13"/>
      <c r="AT15" s="287">
        <f>IF(Таблицы!M127=20,SUM(AX15*2,BB15*2/2,INT(BF15*2/3),INT(BJ15*2/4),INT(BN15*2/5)),SUM(AX15,INT(BB15/2),INT(BF15/3),INT(BJ15/4),INT(BN15/5)))</f>
        <v>0</v>
      </c>
      <c r="AU15" s="287"/>
      <c r="AV15" s="13"/>
      <c r="AW15" s="434"/>
      <c r="AX15" s="413"/>
      <c r="AY15" s="413"/>
      <c r="AZ15" s="13"/>
      <c r="BA15" s="434"/>
      <c r="BB15" s="413"/>
      <c r="BC15" s="413"/>
      <c r="BD15" s="13"/>
      <c r="BE15" s="434"/>
      <c r="BF15" s="413"/>
      <c r="BG15" s="413"/>
      <c r="BH15" s="13"/>
      <c r="BI15" s="434"/>
      <c r="BJ15" s="413"/>
      <c r="BK15" s="413"/>
      <c r="BL15" s="13"/>
      <c r="BM15" s="434"/>
      <c r="BN15" s="413"/>
      <c r="BO15" s="413"/>
      <c r="BP15" s="13"/>
      <c r="BQ15" s="29"/>
      <c r="BR15" s="13"/>
    </row>
    <row r="16" spans="1:70" ht="6.75" customHeight="1">
      <c r="A16" s="19"/>
      <c r="B16" s="287">
        <f>VLOOKUP(G16,Таблицы!A2:B32,2,TRUE)</f>
        <v>1</v>
      </c>
      <c r="C16" s="287"/>
      <c r="D16" s="287"/>
      <c r="E16" s="287"/>
      <c r="F16" s="287"/>
      <c r="G16" s="254">
        <v>0</v>
      </c>
      <c r="H16" s="254"/>
      <c r="I16" s="254"/>
      <c r="J16" s="254"/>
      <c r="K16" s="254"/>
      <c r="L16" s="254"/>
      <c r="M16" s="287">
        <f>VLOOKUP(B16+1,Таблицы!B2:C32,2,FALSE)</f>
        <v>1000</v>
      </c>
      <c r="N16" s="287"/>
      <c r="O16" s="287"/>
      <c r="P16" s="287"/>
      <c r="Q16" s="287"/>
      <c r="R16" s="287"/>
      <c r="S16" s="254"/>
      <c r="T16" s="254"/>
      <c r="U16" s="254"/>
      <c r="V16" s="254"/>
      <c r="W16" s="254"/>
      <c r="X16" s="254"/>
      <c r="Y16" s="29"/>
      <c r="Z16" s="19"/>
      <c r="AA16" s="15"/>
      <c r="AB16" s="15"/>
      <c r="AC16" s="172"/>
      <c r="AD16" s="172"/>
      <c r="AE16" s="172"/>
      <c r="AF16" s="172"/>
      <c r="AG16" s="172"/>
      <c r="AH16" s="172"/>
      <c r="AI16" s="172"/>
      <c r="AJ16" s="172"/>
      <c r="AK16" s="435"/>
      <c r="AL16" s="435"/>
      <c r="AM16" s="13"/>
      <c r="AN16" s="228"/>
      <c r="AO16" s="228"/>
      <c r="AP16" s="436"/>
      <c r="AQ16" s="436"/>
      <c r="AR16" s="15"/>
      <c r="AS16" s="13"/>
      <c r="AT16" s="228"/>
      <c r="AU16" s="228"/>
      <c r="AV16" s="13"/>
      <c r="AW16" s="434"/>
      <c r="AX16" s="413"/>
      <c r="AY16" s="413"/>
      <c r="AZ16" s="13"/>
      <c r="BA16" s="434"/>
      <c r="BB16" s="413"/>
      <c r="BC16" s="413"/>
      <c r="BD16" s="13"/>
      <c r="BE16" s="434"/>
      <c r="BF16" s="413"/>
      <c r="BG16" s="413"/>
      <c r="BH16" s="13"/>
      <c r="BI16" s="434"/>
      <c r="BJ16" s="413"/>
      <c r="BK16" s="413"/>
      <c r="BL16" s="13"/>
      <c r="BM16" s="434"/>
      <c r="BN16" s="413"/>
      <c r="BO16" s="413"/>
      <c r="BP16" s="13"/>
      <c r="BQ16" s="29"/>
      <c r="BR16" s="13"/>
    </row>
    <row r="17" spans="1:70" ht="7.5" customHeight="1" thickBot="1">
      <c r="A17" s="20"/>
      <c r="B17" s="483"/>
      <c r="C17" s="483"/>
      <c r="D17" s="483"/>
      <c r="E17" s="483"/>
      <c r="F17" s="483"/>
      <c r="G17" s="468"/>
      <c r="H17" s="468"/>
      <c r="I17" s="468"/>
      <c r="J17" s="468"/>
      <c r="K17" s="468"/>
      <c r="L17" s="468"/>
      <c r="M17" s="483"/>
      <c r="N17" s="483"/>
      <c r="O17" s="483"/>
      <c r="P17" s="483"/>
      <c r="Q17" s="483"/>
      <c r="R17" s="483"/>
      <c r="S17" s="468"/>
      <c r="T17" s="468"/>
      <c r="U17" s="468"/>
      <c r="V17" s="468"/>
      <c r="W17" s="468"/>
      <c r="X17" s="468"/>
      <c r="Y17" s="29"/>
      <c r="Z17" s="19"/>
      <c r="AA17" s="15"/>
      <c r="AB17" s="15"/>
      <c r="AC17" s="172" t="s">
        <v>1168</v>
      </c>
      <c r="AD17" s="172"/>
      <c r="AE17" s="172"/>
      <c r="AF17" s="172"/>
      <c r="AG17" s="172"/>
      <c r="AH17" s="172"/>
      <c r="AI17" s="172"/>
      <c r="AJ17" s="172"/>
      <c r="AK17" s="435">
        <f>SUM(AN17:AQ18)+IF(Таблицы!BA35=6,Таблицы!BA32,0)+AT17</f>
        <v>20</v>
      </c>
      <c r="AL17" s="435"/>
      <c r="AM17" s="13"/>
      <c r="AN17" s="228">
        <f>IF(D36=0,"",(D36*4)+Таблицы!M128+Таблицы!U128)</f>
        <v>20</v>
      </c>
      <c r="AO17" s="228"/>
      <c r="AP17" s="436"/>
      <c r="AQ17" s="436"/>
      <c r="AR17" s="13"/>
      <c r="AS17" s="13"/>
      <c r="AT17" s="287">
        <f>IF(Таблицы!M128=20,SUM(AX17*2,BB17*2/2,INT(BF17*2/3),INT(BJ17*2/4),INT(BN17*2/5)),SUM(AX17,INT(BB17/2),INT(BF17/3),INT(BJ17/4),INT(BN17/5)))</f>
        <v>0</v>
      </c>
      <c r="AU17" s="287"/>
      <c r="AV17" s="13"/>
      <c r="AW17" s="434"/>
      <c r="AX17" s="413"/>
      <c r="AY17" s="413"/>
      <c r="AZ17" s="13"/>
      <c r="BA17" s="434"/>
      <c r="BB17" s="413"/>
      <c r="BC17" s="413"/>
      <c r="BD17" s="13"/>
      <c r="BE17" s="434"/>
      <c r="BF17" s="413"/>
      <c r="BG17" s="413"/>
      <c r="BH17" s="13"/>
      <c r="BI17" s="434"/>
      <c r="BJ17" s="413"/>
      <c r="BK17" s="413"/>
      <c r="BL17" s="13"/>
      <c r="BM17" s="434"/>
      <c r="BN17" s="413"/>
      <c r="BO17" s="413"/>
      <c r="BP17" s="13"/>
      <c r="BQ17" s="29"/>
      <c r="BR17" s="13"/>
    </row>
    <row r="18" spans="1:70" ht="7.5" customHeight="1">
      <c r="A18" s="16"/>
      <c r="B18" s="448" t="s">
        <v>92</v>
      </c>
      <c r="C18" s="449"/>
      <c r="D18" s="449"/>
      <c r="E18" s="449"/>
      <c r="F18" s="449"/>
      <c r="G18" s="449" t="s">
        <v>62</v>
      </c>
      <c r="H18" s="449"/>
      <c r="I18" s="449"/>
      <c r="J18" s="449"/>
      <c r="K18" s="449"/>
      <c r="L18" s="449"/>
      <c r="M18" s="449" t="s">
        <v>63</v>
      </c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50"/>
      <c r="Y18" s="29"/>
      <c r="Z18" s="19"/>
      <c r="AA18" s="15"/>
      <c r="AB18" s="15"/>
      <c r="AC18" s="172"/>
      <c r="AD18" s="172"/>
      <c r="AE18" s="172"/>
      <c r="AF18" s="172"/>
      <c r="AG18" s="172"/>
      <c r="AH18" s="172"/>
      <c r="AI18" s="172"/>
      <c r="AJ18" s="172"/>
      <c r="AK18" s="435"/>
      <c r="AL18" s="435"/>
      <c r="AM18" s="13"/>
      <c r="AN18" s="228"/>
      <c r="AO18" s="228"/>
      <c r="AP18" s="436"/>
      <c r="AQ18" s="436"/>
      <c r="AR18" s="15"/>
      <c r="AS18" s="13"/>
      <c r="AT18" s="228"/>
      <c r="AU18" s="228"/>
      <c r="AV18" s="13"/>
      <c r="AW18" s="434"/>
      <c r="AX18" s="413"/>
      <c r="AY18" s="413"/>
      <c r="AZ18" s="13"/>
      <c r="BA18" s="434"/>
      <c r="BB18" s="413"/>
      <c r="BC18" s="413"/>
      <c r="BD18" s="13"/>
      <c r="BE18" s="434"/>
      <c r="BF18" s="413"/>
      <c r="BG18" s="413"/>
      <c r="BH18" s="13"/>
      <c r="BI18" s="434"/>
      <c r="BJ18" s="413"/>
      <c r="BK18" s="413"/>
      <c r="BL18" s="13"/>
      <c r="BM18" s="434"/>
      <c r="BN18" s="413"/>
      <c r="BO18" s="413"/>
      <c r="BP18" s="13"/>
      <c r="BQ18" s="29"/>
      <c r="BR18" s="13"/>
    </row>
    <row r="19" spans="1:70" ht="6.75" customHeight="1" thickBot="1">
      <c r="A19" s="19"/>
      <c r="B19" s="451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3"/>
      <c r="Y19" s="29"/>
      <c r="Z19" s="19"/>
      <c r="AA19" s="15"/>
      <c r="AB19" s="15"/>
      <c r="AC19" s="172" t="s">
        <v>79</v>
      </c>
      <c r="AD19" s="172"/>
      <c r="AE19" s="172"/>
      <c r="AF19" s="172"/>
      <c r="AG19" s="172"/>
      <c r="AH19" s="172"/>
      <c r="AI19" s="172"/>
      <c r="AJ19" s="172"/>
      <c r="AK19" s="435">
        <f>SUM(AN19:AQ20)+AT19</f>
        <v>20</v>
      </c>
      <c r="AL19" s="435"/>
      <c r="AM19" s="13"/>
      <c r="AN19" s="228">
        <f>IF(D36=0,"",(2*SUM(D28,D34))+Таблицы!M129+Таблицы!U129)</f>
        <v>20</v>
      </c>
      <c r="AO19" s="228"/>
      <c r="AP19" s="436"/>
      <c r="AQ19" s="436"/>
      <c r="AR19" s="13"/>
      <c r="AS19" s="13"/>
      <c r="AT19" s="287">
        <f>IF(Таблицы!M129=20,SUM(AX19*2,BB19*2/2,INT(BF19*2/3),INT(BJ19*2/4),INT(BN19*2/5)),SUM(AX19,INT(BB19/2),INT(BF19/3),INT(BJ19/4),INT(BN19/5)))</f>
        <v>0</v>
      </c>
      <c r="AU19" s="287"/>
      <c r="AV19" s="13"/>
      <c r="AW19" s="434"/>
      <c r="AX19" s="413"/>
      <c r="AY19" s="413"/>
      <c r="AZ19" s="13"/>
      <c r="BA19" s="434"/>
      <c r="BB19" s="413"/>
      <c r="BC19" s="413"/>
      <c r="BD19" s="13"/>
      <c r="BE19" s="434"/>
      <c r="BF19" s="413"/>
      <c r="BG19" s="413"/>
      <c r="BH19" s="13"/>
      <c r="BI19" s="434"/>
      <c r="BJ19" s="413"/>
      <c r="BK19" s="413"/>
      <c r="BL19" s="13"/>
      <c r="BM19" s="434"/>
      <c r="BN19" s="413"/>
      <c r="BO19" s="413"/>
      <c r="BP19" s="13"/>
      <c r="BQ19" s="29"/>
      <c r="BR19" s="13"/>
    </row>
    <row r="20" spans="1:70" ht="7.5" customHeight="1">
      <c r="A20" s="21"/>
      <c r="B20" s="287">
        <f>IF(OR(Таблицы!F138=16,Таблицы!F139=16),SUM(INDEX(Таблицы!F2:S10,Таблицы!H1,10),1),INDEX(Таблицы!F2:S10,Таблицы!H1,10))</f>
        <v>3</v>
      </c>
      <c r="C20" s="287"/>
      <c r="D20" s="287"/>
      <c r="E20" s="287"/>
      <c r="F20" s="287"/>
      <c r="G20" s="287">
        <f>ROUNDDOWN(3+(D30/2),0)+INDEX(Таблицы!R2:R10,Таблицы!H1,1)</f>
        <v>5</v>
      </c>
      <c r="H20" s="287"/>
      <c r="I20" s="287"/>
      <c r="J20" s="287"/>
      <c r="K20" s="287"/>
      <c r="L20" s="287"/>
      <c r="M20" s="287">
        <f>IF(D34=0,"",IF(OR(Таблицы!F138=16,Таблицы!F139=16,Таблицы!F138=17,Таблицы!F139=17),SUM(5+(2*D34),IF(OR(Таблицы!F138=16,Таблицы!F139=16),Таблицы!L46,0),IF(OR(Таблицы!F138=17,Таблицы!F39=17),Таблицы!L48,0)),5+(2*D34)))+INDEX(Таблицы!U2:U10,Таблицы!H1,1)</f>
        <v>15</v>
      </c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31"/>
      <c r="Z20" s="42"/>
      <c r="AA20" s="15"/>
      <c r="AB20" s="15"/>
      <c r="AC20" s="172"/>
      <c r="AD20" s="172"/>
      <c r="AE20" s="172"/>
      <c r="AF20" s="172"/>
      <c r="AG20" s="172"/>
      <c r="AH20" s="172"/>
      <c r="AI20" s="172"/>
      <c r="AJ20" s="172"/>
      <c r="AK20" s="435"/>
      <c r="AL20" s="435"/>
      <c r="AM20" s="13"/>
      <c r="AN20" s="228"/>
      <c r="AO20" s="228"/>
      <c r="AP20" s="436"/>
      <c r="AQ20" s="436"/>
      <c r="AR20" s="13"/>
      <c r="AS20" s="13"/>
      <c r="AT20" s="228"/>
      <c r="AU20" s="228"/>
      <c r="AV20" s="13"/>
      <c r="AW20" s="434"/>
      <c r="AX20" s="413"/>
      <c r="AY20" s="413"/>
      <c r="AZ20" s="13"/>
      <c r="BA20" s="434"/>
      <c r="BB20" s="413"/>
      <c r="BC20" s="413"/>
      <c r="BD20" s="13"/>
      <c r="BE20" s="434"/>
      <c r="BF20" s="413"/>
      <c r="BG20" s="413"/>
      <c r="BH20" s="13"/>
      <c r="BI20" s="434"/>
      <c r="BJ20" s="413"/>
      <c r="BK20" s="413"/>
      <c r="BL20" s="13"/>
      <c r="BM20" s="434"/>
      <c r="BN20" s="413"/>
      <c r="BO20" s="413"/>
      <c r="BP20" s="13"/>
      <c r="BQ20" s="29"/>
      <c r="BR20" s="13"/>
    </row>
    <row r="21" spans="1:70" ht="7.5" customHeight="1">
      <c r="A21" s="19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31"/>
      <c r="Z21" s="42"/>
      <c r="AA21" s="15"/>
      <c r="AB21" s="15"/>
      <c r="AC21" s="172" t="s">
        <v>80</v>
      </c>
      <c r="AD21" s="172"/>
      <c r="AE21" s="172"/>
      <c r="AF21" s="172"/>
      <c r="AG21" s="172"/>
      <c r="AH21" s="172"/>
      <c r="AI21" s="172"/>
      <c r="AJ21" s="172"/>
      <c r="AK21" s="435">
        <f>SUM(AN21:AQ22)+AT21</f>
        <v>15</v>
      </c>
      <c r="AL21" s="435"/>
      <c r="AM21" s="13"/>
      <c r="AN21" s="228">
        <f>IF(D36=0,"",(5+SUM(D28,D34)+Таблицы!M130+Таблицы!U130))</f>
        <v>15</v>
      </c>
      <c r="AO21" s="228"/>
      <c r="AP21" s="436"/>
      <c r="AQ21" s="436"/>
      <c r="AR21" s="13"/>
      <c r="AS21" s="13"/>
      <c r="AT21" s="287">
        <f>IF(Таблицы!M130=20,SUM(AX21*2,BB21*2/2,INT(BF21*2/3),INT(BJ21*2/4),INT(BN21*2/5)),SUM(AX21,INT(BB21/2),INT(BF21/3),INT(BJ21/4),INT(BN21/5)))</f>
        <v>0</v>
      </c>
      <c r="AU21" s="287"/>
      <c r="AV21" s="13"/>
      <c r="AW21" s="434"/>
      <c r="AX21" s="413"/>
      <c r="AY21" s="413"/>
      <c r="AZ21" s="13"/>
      <c r="BA21" s="434"/>
      <c r="BB21" s="413"/>
      <c r="BC21" s="413"/>
      <c r="BD21" s="13"/>
      <c r="BE21" s="434"/>
      <c r="BF21" s="413"/>
      <c r="BG21" s="413"/>
      <c r="BH21" s="13"/>
      <c r="BI21" s="434"/>
      <c r="BJ21" s="413"/>
      <c r="BK21" s="413"/>
      <c r="BL21" s="22"/>
      <c r="BM21" s="434"/>
      <c r="BN21" s="413"/>
      <c r="BO21" s="413"/>
      <c r="BP21" s="13"/>
      <c r="BQ21" s="29"/>
      <c r="BR21" s="13"/>
    </row>
    <row r="22" spans="1:70" ht="7.5" customHeight="1">
      <c r="A22" s="65"/>
      <c r="B22" s="46"/>
      <c r="C22" s="46"/>
      <c r="D22" s="46"/>
      <c r="E22" s="46"/>
      <c r="F22" s="68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66"/>
      <c r="Z22" s="19"/>
      <c r="AA22" s="15"/>
      <c r="AB22" s="15"/>
      <c r="AC22" s="172"/>
      <c r="AD22" s="172"/>
      <c r="AE22" s="172"/>
      <c r="AF22" s="172"/>
      <c r="AG22" s="172"/>
      <c r="AH22" s="172"/>
      <c r="AI22" s="172"/>
      <c r="AJ22" s="172"/>
      <c r="AK22" s="435"/>
      <c r="AL22" s="435"/>
      <c r="AM22" s="13"/>
      <c r="AN22" s="228"/>
      <c r="AO22" s="228"/>
      <c r="AP22" s="436"/>
      <c r="AQ22" s="436"/>
      <c r="AR22" s="13"/>
      <c r="AS22" s="13"/>
      <c r="AT22" s="228"/>
      <c r="AU22" s="228"/>
      <c r="AV22" s="13"/>
      <c r="AW22" s="434"/>
      <c r="AX22" s="413"/>
      <c r="AY22" s="413"/>
      <c r="AZ22" s="13"/>
      <c r="BA22" s="434"/>
      <c r="BB22" s="413"/>
      <c r="BC22" s="413"/>
      <c r="BD22" s="13"/>
      <c r="BE22" s="434"/>
      <c r="BF22" s="413"/>
      <c r="BG22" s="413"/>
      <c r="BH22" s="13"/>
      <c r="BI22" s="434"/>
      <c r="BJ22" s="413"/>
      <c r="BK22" s="413"/>
      <c r="BL22" s="22"/>
      <c r="BM22" s="434"/>
      <c r="BN22" s="413"/>
      <c r="BO22" s="413"/>
      <c r="BP22" s="13"/>
      <c r="BQ22" s="29"/>
      <c r="BR22" s="13"/>
    </row>
    <row r="23" spans="1:70" ht="7.5" customHeight="1" thickBot="1">
      <c r="A23" s="19"/>
      <c r="B23" s="13"/>
      <c r="C23" s="13"/>
      <c r="D23" s="13"/>
      <c r="E23" s="13"/>
      <c r="F23" s="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29"/>
      <c r="Z23" s="19"/>
      <c r="AA23" s="15"/>
      <c r="AB23" s="15"/>
      <c r="AC23" s="172" t="s">
        <v>81</v>
      </c>
      <c r="AD23" s="172"/>
      <c r="AE23" s="172"/>
      <c r="AF23" s="172"/>
      <c r="AG23" s="172"/>
      <c r="AH23" s="172"/>
      <c r="AI23" s="172"/>
      <c r="AJ23" s="172"/>
      <c r="AK23" s="435">
        <f>SUM(AN23:AQ24)+AT23</f>
        <v>20</v>
      </c>
      <c r="AL23" s="435"/>
      <c r="AM23" s="13"/>
      <c r="AN23" s="228">
        <f>IF(D36=0,"",5+(3*D36)+Таблицы!M131+Таблицы!U131)</f>
        <v>20</v>
      </c>
      <c r="AO23" s="228"/>
      <c r="AP23" s="436"/>
      <c r="AQ23" s="436"/>
      <c r="AR23" s="13"/>
      <c r="AS23" s="13"/>
      <c r="AT23" s="287">
        <f>IF(Таблицы!M131=20,SUM(AX23*2,BB23*2/2,INT(BF23*2/3),INT(BJ23*2/4),INT(BN23*2/5)),SUM(AX23,INT(BB23/2),INT(BF23/3),INT(BJ23/4),INT(BN23/5)))</f>
        <v>0</v>
      </c>
      <c r="AU23" s="287"/>
      <c r="AV23" s="13"/>
      <c r="AW23" s="434"/>
      <c r="AX23" s="413"/>
      <c r="AY23" s="413"/>
      <c r="AZ23" s="13"/>
      <c r="BA23" s="434"/>
      <c r="BB23" s="413"/>
      <c r="BC23" s="413"/>
      <c r="BD23" s="13"/>
      <c r="BE23" s="434"/>
      <c r="BF23" s="413"/>
      <c r="BG23" s="413"/>
      <c r="BH23" s="13"/>
      <c r="BI23" s="434"/>
      <c r="BJ23" s="413"/>
      <c r="BK23" s="413"/>
      <c r="BL23" s="22"/>
      <c r="BM23" s="434"/>
      <c r="BN23" s="413"/>
      <c r="BO23" s="413"/>
      <c r="BP23" s="13"/>
      <c r="BQ23" s="29"/>
      <c r="BR23" s="13"/>
    </row>
    <row r="24" spans="1:70" ht="7.5" customHeight="1">
      <c r="A24" s="19"/>
      <c r="B24" s="488" t="s">
        <v>94</v>
      </c>
      <c r="C24" s="489"/>
      <c r="D24" s="424" t="s">
        <v>222</v>
      </c>
      <c r="E24" s="424"/>
      <c r="F24" s="425"/>
      <c r="G24" s="13"/>
      <c r="H24" s="415" t="s">
        <v>95</v>
      </c>
      <c r="I24" s="442"/>
      <c r="J24" s="442"/>
      <c r="K24" s="455" t="s">
        <v>74</v>
      </c>
      <c r="L24" s="455"/>
      <c r="M24" s="455"/>
      <c r="N24" s="458" t="s">
        <v>8</v>
      </c>
      <c r="O24" s="458"/>
      <c r="P24" s="459"/>
      <c r="Q24" s="13"/>
      <c r="R24" s="448" t="s">
        <v>272</v>
      </c>
      <c r="S24" s="449"/>
      <c r="T24" s="449"/>
      <c r="U24" s="449"/>
      <c r="V24" s="449"/>
      <c r="W24" s="449"/>
      <c r="X24" s="450"/>
      <c r="Y24" s="29"/>
      <c r="Z24" s="19"/>
      <c r="AA24" s="15"/>
      <c r="AB24" s="15"/>
      <c r="AC24" s="172"/>
      <c r="AD24" s="172"/>
      <c r="AE24" s="172"/>
      <c r="AF24" s="172"/>
      <c r="AG24" s="172"/>
      <c r="AH24" s="172"/>
      <c r="AI24" s="172"/>
      <c r="AJ24" s="172"/>
      <c r="AK24" s="435"/>
      <c r="AL24" s="435"/>
      <c r="AM24" s="13"/>
      <c r="AN24" s="228"/>
      <c r="AO24" s="228"/>
      <c r="AP24" s="436"/>
      <c r="AQ24" s="436"/>
      <c r="AR24" s="13"/>
      <c r="AS24" s="13"/>
      <c r="AT24" s="228"/>
      <c r="AU24" s="228"/>
      <c r="AV24" s="13"/>
      <c r="AW24" s="434"/>
      <c r="AX24" s="413"/>
      <c r="AY24" s="413"/>
      <c r="AZ24" s="13"/>
      <c r="BA24" s="434"/>
      <c r="BB24" s="413"/>
      <c r="BC24" s="413"/>
      <c r="BD24" s="13"/>
      <c r="BE24" s="434"/>
      <c r="BF24" s="413"/>
      <c r="BG24" s="413"/>
      <c r="BH24" s="13"/>
      <c r="BI24" s="434"/>
      <c r="BJ24" s="413"/>
      <c r="BK24" s="413"/>
      <c r="BL24" s="22"/>
      <c r="BM24" s="434"/>
      <c r="BN24" s="413"/>
      <c r="BO24" s="413"/>
      <c r="BP24" s="13"/>
      <c r="BQ24" s="29"/>
      <c r="BR24" s="13"/>
    </row>
    <row r="25" spans="1:70" ht="7.5" customHeight="1" thickBot="1">
      <c r="A25" s="21"/>
      <c r="B25" s="490"/>
      <c r="C25" s="491"/>
      <c r="D25" s="427"/>
      <c r="E25" s="427"/>
      <c r="F25" s="428"/>
      <c r="G25" s="13"/>
      <c r="H25" s="443"/>
      <c r="I25" s="444"/>
      <c r="J25" s="444"/>
      <c r="K25" s="457"/>
      <c r="L25" s="457"/>
      <c r="M25" s="457"/>
      <c r="N25" s="460"/>
      <c r="O25" s="460"/>
      <c r="P25" s="461"/>
      <c r="Q25" s="13"/>
      <c r="R25" s="451"/>
      <c r="S25" s="452"/>
      <c r="T25" s="452"/>
      <c r="U25" s="452"/>
      <c r="V25" s="452"/>
      <c r="W25" s="452"/>
      <c r="X25" s="453"/>
      <c r="Y25" s="29"/>
      <c r="Z25" s="19"/>
      <c r="AA25" s="15"/>
      <c r="AB25" s="15"/>
      <c r="AC25" s="172" t="s">
        <v>82</v>
      </c>
      <c r="AD25" s="172"/>
      <c r="AE25" s="172"/>
      <c r="AF25" s="172"/>
      <c r="AG25" s="172"/>
      <c r="AH25" s="172"/>
      <c r="AI25" s="172"/>
      <c r="AJ25" s="172"/>
      <c r="AK25" s="435">
        <f>SUM(AN25:AQ26)+AT25</f>
        <v>20</v>
      </c>
      <c r="AL25" s="435"/>
      <c r="AM25" s="13"/>
      <c r="AN25" s="228">
        <f>IF(D36=0,"",10+(SUM(D28,D36)+Таблицы!M132+Таблицы!U132))</f>
        <v>20</v>
      </c>
      <c r="AO25" s="228"/>
      <c r="AP25" s="436"/>
      <c r="AQ25" s="436"/>
      <c r="AR25" s="13"/>
      <c r="AS25" s="13"/>
      <c r="AT25" s="287">
        <f>IF(Таблицы!M132=20,SUM(AX25*2,BB25*2/2,INT(BF25*2/3),INT(BJ25*2/4),INT(BN25*2/5)),SUM(AX25,INT(BB25/2),INT(BF25/3),INT(BJ25/4),INT(BN25/5)))</f>
        <v>0</v>
      </c>
      <c r="AU25" s="287"/>
      <c r="AV25" s="13"/>
      <c r="AW25" s="434"/>
      <c r="AX25" s="413"/>
      <c r="AY25" s="413"/>
      <c r="AZ25" s="13"/>
      <c r="BA25" s="434"/>
      <c r="BB25" s="413"/>
      <c r="BC25" s="413"/>
      <c r="BD25" s="13"/>
      <c r="BE25" s="434"/>
      <c r="BF25" s="413"/>
      <c r="BG25" s="413"/>
      <c r="BH25" s="13"/>
      <c r="BI25" s="434"/>
      <c r="BJ25" s="413"/>
      <c r="BK25" s="413"/>
      <c r="BL25" s="22"/>
      <c r="BM25" s="434"/>
      <c r="BN25" s="413"/>
      <c r="BO25" s="413"/>
      <c r="BP25" s="13"/>
      <c r="BQ25" s="29"/>
      <c r="BR25" s="13"/>
    </row>
    <row r="26" spans="1:70" ht="7.5" customHeight="1">
      <c r="A26" s="16"/>
      <c r="B26" s="492" t="s">
        <v>258</v>
      </c>
      <c r="C26" s="385"/>
      <c r="D26" s="287">
        <f>SUM(K26+N26,IF(OR(Таблицы!F138=3,Таблицы!F139=3),Таблицы!L35,0),IF(OR(Таблицы!F138=17,Таблицы!F139=17),Таблицы!L49,0))</f>
        <v>5</v>
      </c>
      <c r="E26" s="287"/>
      <c r="F26" s="465"/>
      <c r="G26" s="13"/>
      <c r="H26" s="445" t="str">
        <f>INDEX(Таблицы!F2:L11,Таблицы!H1,1)</f>
        <v>1/10</v>
      </c>
      <c r="I26" s="446"/>
      <c r="J26" s="447"/>
      <c r="K26" s="287">
        <f>INDEX(Таблицы!AF2:AL10,Таблицы!H1,1)</f>
        <v>5</v>
      </c>
      <c r="L26" s="287"/>
      <c r="M26" s="287"/>
      <c r="N26" s="254"/>
      <c r="O26" s="254"/>
      <c r="P26" s="254"/>
      <c r="Q26" s="13"/>
      <c r="R26" s="414"/>
      <c r="S26" s="414"/>
      <c r="T26" s="414"/>
      <c r="U26" s="414"/>
      <c r="V26" s="414"/>
      <c r="W26" s="414"/>
      <c r="X26" s="414"/>
      <c r="Y26" s="29"/>
      <c r="Z26" s="19"/>
      <c r="AA26" s="15"/>
      <c r="AB26" s="15"/>
      <c r="AC26" s="172"/>
      <c r="AD26" s="172"/>
      <c r="AE26" s="172"/>
      <c r="AF26" s="172"/>
      <c r="AG26" s="172"/>
      <c r="AH26" s="172"/>
      <c r="AI26" s="172"/>
      <c r="AJ26" s="172"/>
      <c r="AK26" s="435"/>
      <c r="AL26" s="435"/>
      <c r="AM26" s="13"/>
      <c r="AN26" s="228"/>
      <c r="AO26" s="228"/>
      <c r="AP26" s="436"/>
      <c r="AQ26" s="436"/>
      <c r="AR26" s="13"/>
      <c r="AS26" s="13"/>
      <c r="AT26" s="228"/>
      <c r="AU26" s="228"/>
      <c r="AV26" s="13"/>
      <c r="AW26" s="434"/>
      <c r="AX26" s="413"/>
      <c r="AY26" s="413"/>
      <c r="AZ26" s="13"/>
      <c r="BA26" s="434"/>
      <c r="BB26" s="413"/>
      <c r="BC26" s="413"/>
      <c r="BD26" s="13"/>
      <c r="BE26" s="434"/>
      <c r="BF26" s="413"/>
      <c r="BG26" s="413"/>
      <c r="BH26" s="13"/>
      <c r="BI26" s="434"/>
      <c r="BJ26" s="413"/>
      <c r="BK26" s="413"/>
      <c r="BL26" s="22"/>
      <c r="BM26" s="434"/>
      <c r="BN26" s="413"/>
      <c r="BO26" s="413"/>
      <c r="BP26" s="13"/>
      <c r="BQ26" s="29"/>
      <c r="BR26" s="13"/>
    </row>
    <row r="27" spans="1:70" ht="7.5" customHeight="1" thickBot="1">
      <c r="A27" s="16"/>
      <c r="B27" s="487"/>
      <c r="C27" s="347"/>
      <c r="D27" s="228"/>
      <c r="E27" s="228"/>
      <c r="F27" s="439"/>
      <c r="G27" s="13"/>
      <c r="H27" s="357"/>
      <c r="I27" s="358"/>
      <c r="J27" s="359"/>
      <c r="K27" s="228"/>
      <c r="L27" s="228"/>
      <c r="M27" s="228"/>
      <c r="N27" s="227"/>
      <c r="O27" s="227"/>
      <c r="P27" s="227"/>
      <c r="Q27" s="13"/>
      <c r="R27" s="467"/>
      <c r="S27" s="467"/>
      <c r="T27" s="467"/>
      <c r="U27" s="467"/>
      <c r="V27" s="467"/>
      <c r="W27" s="467"/>
      <c r="X27" s="467"/>
      <c r="Y27" s="29"/>
      <c r="Z27" s="19"/>
      <c r="AA27" s="15"/>
      <c r="AB27" s="15"/>
      <c r="AC27" s="172" t="s">
        <v>83</v>
      </c>
      <c r="AD27" s="172"/>
      <c r="AE27" s="172"/>
      <c r="AF27" s="172"/>
      <c r="AG27" s="172"/>
      <c r="AH27" s="172"/>
      <c r="AI27" s="172"/>
      <c r="AJ27" s="172"/>
      <c r="AK27" s="435">
        <f>SUM(AN27:AQ28)+AT27</f>
        <v>15</v>
      </c>
      <c r="AL27" s="435"/>
      <c r="AM27" s="13"/>
      <c r="AN27" s="228">
        <f>IF(D36=0,"",(D36*3)+Таблицы!M133+Таблицы!U133)</f>
        <v>15</v>
      </c>
      <c r="AO27" s="228"/>
      <c r="AP27" s="436"/>
      <c r="AQ27" s="436"/>
      <c r="AR27" s="13"/>
      <c r="AS27" s="13"/>
      <c r="AT27" s="287">
        <f>IF(Таблицы!M133=20,SUM(AX27*2,BB27*2/2,INT(BF27*2/3),INT(BJ27*2/4),INT(BN27*2/5)),SUM(AX27,INT(BB27/2),INT(BF27/3),INT(BJ27/4),INT(BN27/5)))</f>
        <v>0</v>
      </c>
      <c r="AU27" s="287"/>
      <c r="AV27" s="13"/>
      <c r="AW27" s="434"/>
      <c r="AX27" s="413"/>
      <c r="AY27" s="413"/>
      <c r="AZ27" s="13"/>
      <c r="BA27" s="434"/>
      <c r="BB27" s="413"/>
      <c r="BC27" s="413"/>
      <c r="BD27" s="13"/>
      <c r="BE27" s="434"/>
      <c r="BF27" s="413"/>
      <c r="BG27" s="413"/>
      <c r="BH27" s="13"/>
      <c r="BI27" s="434"/>
      <c r="BJ27" s="413"/>
      <c r="BK27" s="413"/>
      <c r="BL27" s="22"/>
      <c r="BM27" s="434"/>
      <c r="BN27" s="413"/>
      <c r="BO27" s="413"/>
      <c r="BP27" s="13"/>
      <c r="BQ27" s="29"/>
      <c r="BR27" s="13"/>
    </row>
    <row r="28" spans="1:70" ht="7.5" customHeight="1">
      <c r="A28" s="16"/>
      <c r="B28" s="486" t="s">
        <v>115</v>
      </c>
      <c r="C28" s="346"/>
      <c r="D28" s="228">
        <f>SUM(K28+N28,IF(OR(Таблицы!F138=20,Таблицы!F139=20),Таблицы!L57,0),IF(OR(Таблицы!F138=17,Таблицы!F139=17),Таблицы!L50,0))</f>
        <v>5</v>
      </c>
      <c r="E28" s="228"/>
      <c r="F28" s="439"/>
      <c r="G28" s="13"/>
      <c r="H28" s="354" t="str">
        <f>INDEX(Таблицы!F2:L11,Таблицы!H1,2)</f>
        <v>1/10</v>
      </c>
      <c r="I28" s="355"/>
      <c r="J28" s="356"/>
      <c r="K28" s="287">
        <f>INDEX(Таблицы!AF2:AL10,Таблицы!H1,2)</f>
        <v>5</v>
      </c>
      <c r="L28" s="287"/>
      <c r="M28" s="287"/>
      <c r="N28" s="227"/>
      <c r="O28" s="227"/>
      <c r="P28" s="227"/>
      <c r="Q28" s="13"/>
      <c r="R28" s="448" t="s">
        <v>271</v>
      </c>
      <c r="S28" s="449"/>
      <c r="T28" s="449"/>
      <c r="U28" s="449"/>
      <c r="V28" s="449"/>
      <c r="W28" s="449"/>
      <c r="X28" s="450"/>
      <c r="Y28" s="29"/>
      <c r="Z28" s="19"/>
      <c r="AA28" s="15"/>
      <c r="AB28" s="15"/>
      <c r="AC28" s="172"/>
      <c r="AD28" s="172"/>
      <c r="AE28" s="172"/>
      <c r="AF28" s="172"/>
      <c r="AG28" s="172"/>
      <c r="AH28" s="172"/>
      <c r="AI28" s="172"/>
      <c r="AJ28" s="172"/>
      <c r="AK28" s="435"/>
      <c r="AL28" s="435"/>
      <c r="AM28" s="13"/>
      <c r="AN28" s="228"/>
      <c r="AO28" s="228"/>
      <c r="AP28" s="436"/>
      <c r="AQ28" s="436"/>
      <c r="AR28" s="13"/>
      <c r="AS28" s="13"/>
      <c r="AT28" s="228"/>
      <c r="AU28" s="228"/>
      <c r="AV28" s="13"/>
      <c r="AW28" s="434"/>
      <c r="AX28" s="413"/>
      <c r="AY28" s="413"/>
      <c r="AZ28" s="13"/>
      <c r="BA28" s="434"/>
      <c r="BB28" s="413"/>
      <c r="BC28" s="413"/>
      <c r="BD28" s="13"/>
      <c r="BE28" s="434"/>
      <c r="BF28" s="413"/>
      <c r="BG28" s="413"/>
      <c r="BH28" s="13"/>
      <c r="BI28" s="434"/>
      <c r="BJ28" s="413"/>
      <c r="BK28" s="413"/>
      <c r="BL28" s="22"/>
      <c r="BM28" s="434"/>
      <c r="BN28" s="413"/>
      <c r="BO28" s="413"/>
      <c r="BP28" s="13"/>
      <c r="BQ28" s="29"/>
      <c r="BR28" s="13"/>
    </row>
    <row r="29" spans="1:70" ht="7.5" customHeight="1" thickBot="1">
      <c r="A29" s="16"/>
      <c r="B29" s="487"/>
      <c r="C29" s="347"/>
      <c r="D29" s="228"/>
      <c r="E29" s="228"/>
      <c r="F29" s="439"/>
      <c r="G29" s="13"/>
      <c r="H29" s="357"/>
      <c r="I29" s="358"/>
      <c r="J29" s="359"/>
      <c r="K29" s="228"/>
      <c r="L29" s="228"/>
      <c r="M29" s="228"/>
      <c r="N29" s="227"/>
      <c r="O29" s="227"/>
      <c r="P29" s="227"/>
      <c r="Q29" s="13"/>
      <c r="R29" s="451"/>
      <c r="S29" s="452"/>
      <c r="T29" s="452"/>
      <c r="U29" s="452"/>
      <c r="V29" s="452"/>
      <c r="W29" s="452"/>
      <c r="X29" s="453"/>
      <c r="Y29" s="29"/>
      <c r="Z29" s="19"/>
      <c r="AA29" s="15"/>
      <c r="AB29" s="15"/>
      <c r="AC29" s="172" t="s">
        <v>84</v>
      </c>
      <c r="AD29" s="172"/>
      <c r="AE29" s="172"/>
      <c r="AF29" s="172"/>
      <c r="AG29" s="172"/>
      <c r="AH29" s="172"/>
      <c r="AI29" s="172"/>
      <c r="AJ29" s="172"/>
      <c r="AK29" s="435">
        <f>SUM(AN29:AQ30)+AT29</f>
        <v>20</v>
      </c>
      <c r="AL29" s="435"/>
      <c r="AM29" s="13"/>
      <c r="AN29" s="228">
        <f>IF(D36=0,"",10+(SUM(D28,D36)+Таблицы!M134+Таблицы!U134))</f>
        <v>20</v>
      </c>
      <c r="AO29" s="228"/>
      <c r="AP29" s="436"/>
      <c r="AQ29" s="436"/>
      <c r="AR29" s="13"/>
      <c r="AS29" s="13"/>
      <c r="AT29" s="287">
        <f>IF(Таблицы!M134=20,SUM(AX29*2,BB29*2/2,INT(BF29*2/3),INT(BJ29*2/4),INT(BN29*2/5)),SUM(AX29,INT(BB29/2),INT(BF29/3),INT(BJ29/4),INT(BN29/5)))</f>
        <v>0</v>
      </c>
      <c r="AU29" s="287"/>
      <c r="AV29" s="13"/>
      <c r="AW29" s="434"/>
      <c r="AX29" s="413"/>
      <c r="AY29" s="413"/>
      <c r="AZ29" s="13"/>
      <c r="BA29" s="434"/>
      <c r="BB29" s="413"/>
      <c r="BC29" s="413"/>
      <c r="BD29" s="13"/>
      <c r="BE29" s="434"/>
      <c r="BF29" s="413"/>
      <c r="BG29" s="413"/>
      <c r="BH29" s="13"/>
      <c r="BI29" s="434"/>
      <c r="BJ29" s="413"/>
      <c r="BK29" s="413"/>
      <c r="BL29" s="22"/>
      <c r="BM29" s="434"/>
      <c r="BN29" s="413"/>
      <c r="BO29" s="413"/>
      <c r="BP29" s="13"/>
      <c r="BQ29" s="29"/>
      <c r="BR29" s="13"/>
    </row>
    <row r="30" spans="1:70" ht="7.5" customHeight="1">
      <c r="A30" s="16"/>
      <c r="B30" s="486" t="s">
        <v>116</v>
      </c>
      <c r="C30" s="346"/>
      <c r="D30" s="228">
        <f>SUM(K30+N30,IF(OR(Таблицы!F138=17,Таблицы!F139=17),Таблицы!L51,0))</f>
        <v>5</v>
      </c>
      <c r="E30" s="228"/>
      <c r="F30" s="439"/>
      <c r="G30" s="13"/>
      <c r="H30" s="354" t="str">
        <f>INDEX(Таблицы!F2:L11,Таблицы!H1,3)</f>
        <v>1/10</v>
      </c>
      <c r="I30" s="355"/>
      <c r="J30" s="356"/>
      <c r="K30" s="287">
        <f>INDEX(Таблицы!AF2:AL10,Таблицы!H1,3)</f>
        <v>5</v>
      </c>
      <c r="L30" s="287"/>
      <c r="M30" s="287"/>
      <c r="N30" s="227"/>
      <c r="O30" s="227"/>
      <c r="P30" s="227"/>
      <c r="Q30" s="13"/>
      <c r="R30" s="254"/>
      <c r="S30" s="254"/>
      <c r="T30" s="254"/>
      <c r="U30" s="254"/>
      <c r="V30" s="254"/>
      <c r="W30" s="254"/>
      <c r="X30" s="254"/>
      <c r="Y30" s="29"/>
      <c r="Z30" s="19"/>
      <c r="AA30" s="15"/>
      <c r="AB30" s="15"/>
      <c r="AC30" s="172"/>
      <c r="AD30" s="172"/>
      <c r="AE30" s="172"/>
      <c r="AF30" s="172"/>
      <c r="AG30" s="172"/>
      <c r="AH30" s="172"/>
      <c r="AI30" s="172"/>
      <c r="AJ30" s="172"/>
      <c r="AK30" s="435"/>
      <c r="AL30" s="435"/>
      <c r="AM30" s="13"/>
      <c r="AN30" s="228"/>
      <c r="AO30" s="228"/>
      <c r="AP30" s="436"/>
      <c r="AQ30" s="436"/>
      <c r="AR30" s="13"/>
      <c r="AS30" s="13"/>
      <c r="AT30" s="228"/>
      <c r="AU30" s="228"/>
      <c r="AV30" s="13"/>
      <c r="AW30" s="434"/>
      <c r="AX30" s="413"/>
      <c r="AY30" s="413"/>
      <c r="AZ30" s="13"/>
      <c r="BA30" s="434"/>
      <c r="BB30" s="413"/>
      <c r="BC30" s="413"/>
      <c r="BD30" s="13"/>
      <c r="BE30" s="434"/>
      <c r="BF30" s="413"/>
      <c r="BG30" s="413"/>
      <c r="BH30" s="13"/>
      <c r="BI30" s="434"/>
      <c r="BJ30" s="413"/>
      <c r="BK30" s="413"/>
      <c r="BL30" s="22"/>
      <c r="BM30" s="434"/>
      <c r="BN30" s="413"/>
      <c r="BO30" s="413"/>
      <c r="BP30" s="13"/>
      <c r="BQ30" s="29"/>
      <c r="BR30" s="13"/>
    </row>
    <row r="31" spans="1:70" ht="7.5" customHeight="1" thickBot="1">
      <c r="A31" s="16"/>
      <c r="B31" s="487"/>
      <c r="C31" s="347"/>
      <c r="D31" s="228"/>
      <c r="E31" s="228"/>
      <c r="F31" s="439"/>
      <c r="G31" s="13"/>
      <c r="H31" s="357"/>
      <c r="I31" s="358"/>
      <c r="J31" s="359"/>
      <c r="K31" s="228"/>
      <c r="L31" s="228"/>
      <c r="M31" s="228"/>
      <c r="N31" s="227"/>
      <c r="O31" s="227"/>
      <c r="P31" s="227"/>
      <c r="Q31" s="13"/>
      <c r="R31" s="468"/>
      <c r="S31" s="468"/>
      <c r="T31" s="468"/>
      <c r="U31" s="468"/>
      <c r="V31" s="468"/>
      <c r="W31" s="468"/>
      <c r="X31" s="468"/>
      <c r="Y31" s="29"/>
      <c r="Z31" s="19"/>
      <c r="AA31" s="15"/>
      <c r="AB31" s="15"/>
      <c r="AC31" s="172" t="s">
        <v>85</v>
      </c>
      <c r="AD31" s="172"/>
      <c r="AE31" s="172"/>
      <c r="AF31" s="172"/>
      <c r="AG31" s="172"/>
      <c r="AH31" s="172"/>
      <c r="AI31" s="172"/>
      <c r="AJ31" s="172"/>
      <c r="AK31" s="435">
        <f>SUM(AN31:AQ32)+AT31</f>
        <v>20</v>
      </c>
      <c r="AL31" s="435"/>
      <c r="AM31" s="13"/>
      <c r="AN31" s="228">
        <f>IF(D36=0,"",(D34*4)+Таблицы!M135+Таблицы!U135)</f>
        <v>20</v>
      </c>
      <c r="AO31" s="228"/>
      <c r="AP31" s="436"/>
      <c r="AQ31" s="436"/>
      <c r="AR31" s="13"/>
      <c r="AS31" s="13"/>
      <c r="AT31" s="287">
        <f>IF(Таблицы!M135=20,SUM(AX31*2,BB31*2/2,INT(BF31*2/3),INT(BJ31*2/4),INT(BN31*2/5)),SUM(AX31,INT(BB31/2),INT(BF31/3),INT(BJ31/4),INT(BN31/5)))</f>
        <v>0</v>
      </c>
      <c r="AU31" s="287"/>
      <c r="AV31" s="13"/>
      <c r="AW31" s="434"/>
      <c r="AX31" s="413"/>
      <c r="AY31" s="413"/>
      <c r="AZ31" s="13"/>
      <c r="BA31" s="434"/>
      <c r="BB31" s="413"/>
      <c r="BC31" s="413"/>
      <c r="BD31" s="13"/>
      <c r="BE31" s="434"/>
      <c r="BF31" s="413"/>
      <c r="BG31" s="413"/>
      <c r="BH31" s="13"/>
      <c r="BI31" s="434"/>
      <c r="BJ31" s="413"/>
      <c r="BK31" s="413"/>
      <c r="BL31" s="22"/>
      <c r="BM31" s="434"/>
      <c r="BN31" s="413"/>
      <c r="BO31" s="413"/>
      <c r="BP31" s="13"/>
      <c r="BQ31" s="29"/>
      <c r="BR31" s="13"/>
    </row>
    <row r="32" spans="1:70" ht="7.5" customHeight="1">
      <c r="A32" s="16"/>
      <c r="B32" s="486" t="s">
        <v>117</v>
      </c>
      <c r="C32" s="346"/>
      <c r="D32" s="228">
        <f>SUM(K32+N32,IF(OR(Таблицы!F138=17,Таблицы!F139=17),Таблицы!L52,0))</f>
        <v>5</v>
      </c>
      <c r="E32" s="228"/>
      <c r="F32" s="439"/>
      <c r="G32" s="13"/>
      <c r="H32" s="354" t="str">
        <f>INDEX(Таблицы!F2:L11,Таблицы!H1,4)</f>
        <v>1/10</v>
      </c>
      <c r="I32" s="355"/>
      <c r="J32" s="356"/>
      <c r="K32" s="287">
        <f>INDEX(Таблицы!AF2:AL10,Таблицы!H1,4)</f>
        <v>5</v>
      </c>
      <c r="L32" s="287"/>
      <c r="M32" s="287"/>
      <c r="N32" s="227"/>
      <c r="O32" s="227"/>
      <c r="P32" s="227"/>
      <c r="Q32" s="13"/>
      <c r="R32" s="448" t="s">
        <v>270</v>
      </c>
      <c r="S32" s="449"/>
      <c r="T32" s="449"/>
      <c r="U32" s="449"/>
      <c r="V32" s="449"/>
      <c r="W32" s="449"/>
      <c r="X32" s="450"/>
      <c r="Y32" s="29"/>
      <c r="Z32" s="19"/>
      <c r="AA32" s="15"/>
      <c r="AB32" s="15"/>
      <c r="AC32" s="172"/>
      <c r="AD32" s="172"/>
      <c r="AE32" s="172"/>
      <c r="AF32" s="172"/>
      <c r="AG32" s="172"/>
      <c r="AH32" s="172"/>
      <c r="AI32" s="172"/>
      <c r="AJ32" s="172"/>
      <c r="AK32" s="435"/>
      <c r="AL32" s="435"/>
      <c r="AM32" s="13"/>
      <c r="AN32" s="228"/>
      <c r="AO32" s="228"/>
      <c r="AP32" s="436"/>
      <c r="AQ32" s="436"/>
      <c r="AR32" s="13"/>
      <c r="AS32" s="13"/>
      <c r="AT32" s="228"/>
      <c r="AU32" s="228"/>
      <c r="AV32" s="13"/>
      <c r="AW32" s="434"/>
      <c r="AX32" s="413"/>
      <c r="AY32" s="413"/>
      <c r="AZ32" s="13"/>
      <c r="BA32" s="434"/>
      <c r="BB32" s="413"/>
      <c r="BC32" s="413"/>
      <c r="BD32" s="13"/>
      <c r="BE32" s="434"/>
      <c r="BF32" s="413"/>
      <c r="BG32" s="413"/>
      <c r="BH32" s="13"/>
      <c r="BI32" s="434"/>
      <c r="BJ32" s="413"/>
      <c r="BK32" s="413"/>
      <c r="BL32" s="22"/>
      <c r="BM32" s="434"/>
      <c r="BN32" s="413"/>
      <c r="BO32" s="413"/>
      <c r="BP32" s="13"/>
      <c r="BQ32" s="29"/>
      <c r="BR32" s="13"/>
    </row>
    <row r="33" spans="1:70" ht="7.5" customHeight="1" thickBot="1">
      <c r="A33" s="16"/>
      <c r="B33" s="487"/>
      <c r="C33" s="347"/>
      <c r="D33" s="228"/>
      <c r="E33" s="228"/>
      <c r="F33" s="439"/>
      <c r="G33" s="13"/>
      <c r="H33" s="357"/>
      <c r="I33" s="358"/>
      <c r="J33" s="359"/>
      <c r="K33" s="228"/>
      <c r="L33" s="228"/>
      <c r="M33" s="228"/>
      <c r="N33" s="227"/>
      <c r="O33" s="227"/>
      <c r="P33" s="227"/>
      <c r="Q33" s="13"/>
      <c r="R33" s="451"/>
      <c r="S33" s="452"/>
      <c r="T33" s="452"/>
      <c r="U33" s="452"/>
      <c r="V33" s="452"/>
      <c r="W33" s="452"/>
      <c r="X33" s="453"/>
      <c r="Y33" s="29"/>
      <c r="Z33" s="19"/>
      <c r="AA33" s="15"/>
      <c r="AB33" s="15"/>
      <c r="AC33" s="172" t="s">
        <v>86</v>
      </c>
      <c r="AD33" s="172"/>
      <c r="AE33" s="172"/>
      <c r="AF33" s="172"/>
      <c r="AG33" s="172"/>
      <c r="AH33" s="172"/>
      <c r="AI33" s="172"/>
      <c r="AJ33" s="172"/>
      <c r="AK33" s="435">
        <f>SUM(AN33:AQ34)+AT33</f>
        <v>15</v>
      </c>
      <c r="AL33" s="435"/>
      <c r="AM33" s="13"/>
      <c r="AN33" s="228">
        <f>IF(D36=0,"",(D34*3)+Таблицы!M136+Таблицы!U136)</f>
        <v>15</v>
      </c>
      <c r="AO33" s="228"/>
      <c r="AP33" s="436"/>
      <c r="AQ33" s="436"/>
      <c r="AR33" s="13"/>
      <c r="AS33" s="13"/>
      <c r="AT33" s="287">
        <f>IF(Таблицы!M136=20,SUM(AX33*2,BB33*2/2,INT(BF33*2/3),INT(BJ33*2/4),INT(BN33*2/5)),SUM(AX33,INT(BB33/2),INT(BF33/3),INT(BJ33/4),INT(BN33/5)))</f>
        <v>0</v>
      </c>
      <c r="AU33" s="287"/>
      <c r="AV33" s="13"/>
      <c r="AW33" s="434"/>
      <c r="AX33" s="413"/>
      <c r="AY33" s="413"/>
      <c r="AZ33" s="13"/>
      <c r="BA33" s="434"/>
      <c r="BB33" s="413"/>
      <c r="BC33" s="413"/>
      <c r="BD33" s="13"/>
      <c r="BE33" s="434"/>
      <c r="BF33" s="413"/>
      <c r="BG33" s="413"/>
      <c r="BH33" s="13"/>
      <c r="BI33" s="434"/>
      <c r="BJ33" s="413"/>
      <c r="BK33" s="413"/>
      <c r="BL33" s="22"/>
      <c r="BM33" s="434"/>
      <c r="BN33" s="413"/>
      <c r="BO33" s="413"/>
      <c r="BP33" s="13"/>
      <c r="BQ33" s="29"/>
      <c r="BR33" s="13"/>
    </row>
    <row r="34" spans="1:70" ht="7.5" customHeight="1">
      <c r="A34" s="16"/>
      <c r="B34" s="486" t="s">
        <v>118</v>
      </c>
      <c r="C34" s="346"/>
      <c r="D34" s="228">
        <f>SUM(K34+N34,IF(OR(Таблицы!F138=24,Таблицы!F139=24),Таблицы!L59,0),IF(OR(Таблицы!F138=17,Таблицы!F139=17),Таблицы!L53,0))</f>
        <v>5</v>
      </c>
      <c r="E34" s="228"/>
      <c r="F34" s="439"/>
      <c r="G34" s="13"/>
      <c r="H34" s="354" t="str">
        <f>INDEX(Таблицы!F2:L11,Таблицы!H1,5)</f>
        <v>1/10</v>
      </c>
      <c r="I34" s="355"/>
      <c r="J34" s="356"/>
      <c r="K34" s="287">
        <f>INDEX(Таблицы!AF2:AL10,Таблицы!H1,5)</f>
        <v>5</v>
      </c>
      <c r="L34" s="287"/>
      <c r="M34" s="287"/>
      <c r="N34" s="227"/>
      <c r="O34" s="227"/>
      <c r="P34" s="227"/>
      <c r="Q34" s="13"/>
      <c r="R34" s="254"/>
      <c r="S34" s="254"/>
      <c r="T34" s="254"/>
      <c r="U34" s="254"/>
      <c r="V34" s="254"/>
      <c r="W34" s="254"/>
      <c r="X34" s="254"/>
      <c r="Y34" s="29"/>
      <c r="Z34" s="19"/>
      <c r="AA34" s="15"/>
      <c r="AB34" s="15"/>
      <c r="AC34" s="172"/>
      <c r="AD34" s="172"/>
      <c r="AE34" s="172"/>
      <c r="AF34" s="172"/>
      <c r="AG34" s="172"/>
      <c r="AH34" s="172"/>
      <c r="AI34" s="172"/>
      <c r="AJ34" s="172"/>
      <c r="AK34" s="435"/>
      <c r="AL34" s="435"/>
      <c r="AM34" s="13"/>
      <c r="AN34" s="228"/>
      <c r="AO34" s="228"/>
      <c r="AP34" s="436"/>
      <c r="AQ34" s="436"/>
      <c r="AR34" s="13"/>
      <c r="AS34" s="13"/>
      <c r="AT34" s="228"/>
      <c r="AU34" s="228"/>
      <c r="AV34" s="13"/>
      <c r="AW34" s="434"/>
      <c r="AX34" s="413"/>
      <c r="AY34" s="413"/>
      <c r="AZ34" s="13"/>
      <c r="BA34" s="434"/>
      <c r="BB34" s="413"/>
      <c r="BC34" s="413"/>
      <c r="BD34" s="13"/>
      <c r="BE34" s="434"/>
      <c r="BF34" s="413"/>
      <c r="BG34" s="413"/>
      <c r="BH34" s="13"/>
      <c r="BI34" s="434"/>
      <c r="BJ34" s="413"/>
      <c r="BK34" s="413"/>
      <c r="BL34" s="22"/>
      <c r="BM34" s="434"/>
      <c r="BN34" s="413"/>
      <c r="BO34" s="413"/>
      <c r="BP34" s="13"/>
      <c r="BQ34" s="29"/>
      <c r="BR34" s="13"/>
    </row>
    <row r="35" spans="1:70" ht="7.5" customHeight="1" thickBot="1">
      <c r="A35" s="16"/>
      <c r="B35" s="487"/>
      <c r="C35" s="347"/>
      <c r="D35" s="228"/>
      <c r="E35" s="228"/>
      <c r="F35" s="439"/>
      <c r="G35" s="13"/>
      <c r="H35" s="357"/>
      <c r="I35" s="358"/>
      <c r="J35" s="359"/>
      <c r="K35" s="228"/>
      <c r="L35" s="228"/>
      <c r="M35" s="228"/>
      <c r="N35" s="227"/>
      <c r="O35" s="227"/>
      <c r="P35" s="227"/>
      <c r="Q35" s="13"/>
      <c r="R35" s="468"/>
      <c r="S35" s="468"/>
      <c r="T35" s="468"/>
      <c r="U35" s="468"/>
      <c r="V35" s="468"/>
      <c r="W35" s="468"/>
      <c r="X35" s="468"/>
      <c r="Y35" s="29"/>
      <c r="Z35" s="19"/>
      <c r="AA35" s="15"/>
      <c r="AB35" s="15"/>
      <c r="AC35" s="172" t="s">
        <v>87</v>
      </c>
      <c r="AD35" s="172"/>
      <c r="AE35" s="172"/>
      <c r="AF35" s="172"/>
      <c r="AG35" s="172"/>
      <c r="AH35" s="172"/>
      <c r="AI35" s="172"/>
      <c r="AJ35" s="172"/>
      <c r="AK35" s="435">
        <f>SUM(AN35:AQ36)+AT35</f>
        <v>20</v>
      </c>
      <c r="AL35" s="435"/>
      <c r="AM35" s="13"/>
      <c r="AN35" s="228">
        <f>IF(D36=0,"",(2*SUM(D28,D36)+Таблицы!M137+Таблицы!U137))</f>
        <v>20</v>
      </c>
      <c r="AO35" s="228"/>
      <c r="AP35" s="436"/>
      <c r="AQ35" s="436"/>
      <c r="AR35" s="13"/>
      <c r="AS35" s="13"/>
      <c r="AT35" s="287">
        <f>IF(Таблицы!M137=20,SUM(AX35*2,BB35*2/2,INT(BF35*2/3),INT(BJ35*2/4),INT(BN35*2/5)),SUM(AX35,INT(BB35/2),INT(BF35/3),INT(BJ35/4),INT(BN35/5)))</f>
        <v>0</v>
      </c>
      <c r="AU35" s="287"/>
      <c r="AV35" s="13"/>
      <c r="AW35" s="434"/>
      <c r="AX35" s="413"/>
      <c r="AY35" s="413"/>
      <c r="AZ35" s="13"/>
      <c r="BA35" s="434"/>
      <c r="BB35" s="413"/>
      <c r="BC35" s="413"/>
      <c r="BD35" s="13"/>
      <c r="BE35" s="434"/>
      <c r="BF35" s="413"/>
      <c r="BG35" s="413"/>
      <c r="BH35" s="13"/>
      <c r="BI35" s="434"/>
      <c r="BJ35" s="413"/>
      <c r="BK35" s="413"/>
      <c r="BL35" s="22"/>
      <c r="BM35" s="434"/>
      <c r="BN35" s="413"/>
      <c r="BO35" s="413"/>
      <c r="BP35" s="13"/>
      <c r="BQ35" s="29"/>
      <c r="BR35" s="13"/>
    </row>
    <row r="36" spans="1:70" ht="7.5" customHeight="1">
      <c r="A36" s="16"/>
      <c r="B36" s="486" t="s">
        <v>119</v>
      </c>
      <c r="C36" s="346"/>
      <c r="D36" s="228">
        <f>SUM(K36+N36,IF(OR(Таблицы!F138=4,Таблицы!F139=4),Таблицы!L40,0),IF(OR(Таблицы!F138=17,Таблицы!F139=17),Таблицы!L54,0))</f>
        <v>5</v>
      </c>
      <c r="E36" s="228"/>
      <c r="F36" s="439"/>
      <c r="G36" s="13"/>
      <c r="H36" s="354" t="str">
        <f>INDEX(Таблицы!F2:L11,Таблицы!H1,6)</f>
        <v>1/10</v>
      </c>
      <c r="I36" s="355"/>
      <c r="J36" s="356"/>
      <c r="K36" s="287">
        <f>INDEX(Таблицы!AF2:AL10,Таблицы!H1,6)</f>
        <v>5</v>
      </c>
      <c r="L36" s="287"/>
      <c r="M36" s="287"/>
      <c r="N36" s="342"/>
      <c r="O36" s="437"/>
      <c r="P36" s="343"/>
      <c r="Q36" s="13"/>
      <c r="R36" s="448" t="s">
        <v>273</v>
      </c>
      <c r="S36" s="449"/>
      <c r="T36" s="449"/>
      <c r="U36" s="449"/>
      <c r="V36" s="449"/>
      <c r="W36" s="449"/>
      <c r="X36" s="450"/>
      <c r="Y36" s="29"/>
      <c r="Z36" s="19"/>
      <c r="AA36" s="15"/>
      <c r="AB36" s="15"/>
      <c r="AC36" s="172"/>
      <c r="AD36" s="172"/>
      <c r="AE36" s="172"/>
      <c r="AF36" s="172"/>
      <c r="AG36" s="172"/>
      <c r="AH36" s="172"/>
      <c r="AI36" s="172"/>
      <c r="AJ36" s="172"/>
      <c r="AK36" s="435"/>
      <c r="AL36" s="435"/>
      <c r="AM36" s="13"/>
      <c r="AN36" s="228"/>
      <c r="AO36" s="228"/>
      <c r="AP36" s="436"/>
      <c r="AQ36" s="436"/>
      <c r="AR36" s="13"/>
      <c r="AS36" s="13"/>
      <c r="AT36" s="228"/>
      <c r="AU36" s="228"/>
      <c r="AV36" s="13"/>
      <c r="AW36" s="434"/>
      <c r="AX36" s="413"/>
      <c r="AY36" s="413"/>
      <c r="AZ36" s="13"/>
      <c r="BA36" s="434"/>
      <c r="BB36" s="413"/>
      <c r="BC36" s="413"/>
      <c r="BD36" s="13"/>
      <c r="BE36" s="434"/>
      <c r="BF36" s="413"/>
      <c r="BG36" s="413"/>
      <c r="BH36" s="13"/>
      <c r="BI36" s="434"/>
      <c r="BJ36" s="413"/>
      <c r="BK36" s="413"/>
      <c r="BL36" s="22"/>
      <c r="BM36" s="434"/>
      <c r="BN36" s="413"/>
      <c r="BO36" s="413"/>
      <c r="BP36" s="13"/>
      <c r="BQ36" s="29"/>
      <c r="BR36" s="13"/>
    </row>
    <row r="37" spans="1:70" ht="7.5" customHeight="1" thickBot="1">
      <c r="A37" s="16"/>
      <c r="B37" s="487"/>
      <c r="C37" s="347"/>
      <c r="D37" s="228"/>
      <c r="E37" s="228"/>
      <c r="F37" s="439"/>
      <c r="G37" s="13"/>
      <c r="H37" s="357"/>
      <c r="I37" s="358"/>
      <c r="J37" s="359"/>
      <c r="K37" s="228"/>
      <c r="L37" s="228"/>
      <c r="M37" s="228"/>
      <c r="N37" s="344"/>
      <c r="O37" s="438"/>
      <c r="P37" s="345"/>
      <c r="Q37" s="13"/>
      <c r="R37" s="451"/>
      <c r="S37" s="452"/>
      <c r="T37" s="452"/>
      <c r="U37" s="452"/>
      <c r="V37" s="452"/>
      <c r="W37" s="452"/>
      <c r="X37" s="453"/>
      <c r="Y37" s="29"/>
      <c r="Z37" s="19"/>
      <c r="AA37" s="15"/>
      <c r="AB37" s="15"/>
      <c r="AC37" s="172" t="s">
        <v>88</v>
      </c>
      <c r="AD37" s="172"/>
      <c r="AE37" s="172"/>
      <c r="AF37" s="172"/>
      <c r="AG37" s="172"/>
      <c r="AH37" s="172"/>
      <c r="AI37" s="172"/>
      <c r="AJ37" s="172"/>
      <c r="AK37" s="435">
        <f>SUM(AN37:AQ38)+AT37</f>
        <v>25</v>
      </c>
      <c r="AL37" s="435"/>
      <c r="AM37" s="13"/>
      <c r="AN37" s="228">
        <f>IF(D36=0,"",(D32*5)+Таблицы!M138+Таблицы!U138)</f>
        <v>25</v>
      </c>
      <c r="AO37" s="228"/>
      <c r="AP37" s="436"/>
      <c r="AQ37" s="436"/>
      <c r="AR37" s="13"/>
      <c r="AS37" s="13"/>
      <c r="AT37" s="287">
        <f>IF(Таблицы!M138=20,SUM(AX37*2,BB37*2/2,INT(BF37*2/3),INT(BJ37*2/4),INT(BN37*2/5)),SUM(AX37,INT(BB37/2),INT(BF37/3),INT(BJ37/4),INT(BN37/5)))</f>
        <v>0</v>
      </c>
      <c r="AU37" s="287"/>
      <c r="AV37" s="13"/>
      <c r="AW37" s="434"/>
      <c r="AX37" s="413"/>
      <c r="AY37" s="413"/>
      <c r="AZ37" s="13"/>
      <c r="BA37" s="434"/>
      <c r="BB37" s="413"/>
      <c r="BC37" s="413"/>
      <c r="BD37" s="13"/>
      <c r="BE37" s="434"/>
      <c r="BF37" s="413"/>
      <c r="BG37" s="413"/>
      <c r="BH37" s="13"/>
      <c r="BI37" s="434"/>
      <c r="BJ37" s="413"/>
      <c r="BK37" s="413"/>
      <c r="BL37" s="22"/>
      <c r="BM37" s="434"/>
      <c r="BN37" s="413"/>
      <c r="BO37" s="413"/>
      <c r="BP37" s="13"/>
      <c r="BQ37" s="29"/>
      <c r="BR37" s="13"/>
    </row>
    <row r="38" spans="1:70" ht="7.5" customHeight="1">
      <c r="A38" s="19"/>
      <c r="B38" s="462" t="s">
        <v>120</v>
      </c>
      <c r="C38" s="172"/>
      <c r="D38" s="228">
        <f>SUM(K38+N38,IF(OR(Таблицы!F138=17,Таблицы!F139=17),Таблицы!L55,0))</f>
        <v>5</v>
      </c>
      <c r="E38" s="228"/>
      <c r="F38" s="439"/>
      <c r="G38" s="13"/>
      <c r="H38" s="354" t="str">
        <f>INDEX(Таблицы!F2:L11,Таблицы!H1,7)</f>
        <v>1/10</v>
      </c>
      <c r="I38" s="355"/>
      <c r="J38" s="356"/>
      <c r="K38" s="287">
        <f>INDEX(Таблицы!AF2:AL10,Таблицы!H1,7)</f>
        <v>5</v>
      </c>
      <c r="L38" s="287"/>
      <c r="M38" s="287"/>
      <c r="N38" s="227"/>
      <c r="O38" s="227"/>
      <c r="P38" s="227"/>
      <c r="Q38" s="13"/>
      <c r="R38" s="469"/>
      <c r="S38" s="469"/>
      <c r="T38" s="469"/>
      <c r="U38" s="469"/>
      <c r="V38" s="469"/>
      <c r="W38" s="469"/>
      <c r="X38" s="469"/>
      <c r="Y38" s="29"/>
      <c r="Z38" s="19"/>
      <c r="AA38" s="15"/>
      <c r="AB38" s="15"/>
      <c r="AC38" s="172"/>
      <c r="AD38" s="172"/>
      <c r="AE38" s="172"/>
      <c r="AF38" s="172"/>
      <c r="AG38" s="172"/>
      <c r="AH38" s="172"/>
      <c r="AI38" s="172"/>
      <c r="AJ38" s="172"/>
      <c r="AK38" s="435"/>
      <c r="AL38" s="435"/>
      <c r="AM38" s="13"/>
      <c r="AN38" s="228"/>
      <c r="AO38" s="228"/>
      <c r="AP38" s="436"/>
      <c r="AQ38" s="436"/>
      <c r="AR38" s="13"/>
      <c r="AS38" s="13"/>
      <c r="AT38" s="228"/>
      <c r="AU38" s="228"/>
      <c r="AV38" s="13"/>
      <c r="AW38" s="434"/>
      <c r="AX38" s="413"/>
      <c r="AY38" s="413"/>
      <c r="AZ38" s="13"/>
      <c r="BA38" s="434"/>
      <c r="BB38" s="413"/>
      <c r="BC38" s="413"/>
      <c r="BD38" s="13"/>
      <c r="BE38" s="434"/>
      <c r="BF38" s="413"/>
      <c r="BG38" s="413"/>
      <c r="BH38" s="13"/>
      <c r="BI38" s="434"/>
      <c r="BJ38" s="413"/>
      <c r="BK38" s="413"/>
      <c r="BL38" s="22"/>
      <c r="BM38" s="434"/>
      <c r="BN38" s="413"/>
      <c r="BO38" s="413"/>
      <c r="BP38" s="13"/>
      <c r="BQ38" s="29"/>
      <c r="BR38" s="13"/>
    </row>
    <row r="39" spans="1:70" ht="7.5" customHeight="1" thickBot="1">
      <c r="A39" s="16"/>
      <c r="B39" s="463"/>
      <c r="C39" s="464"/>
      <c r="D39" s="440"/>
      <c r="E39" s="440"/>
      <c r="F39" s="441"/>
      <c r="G39" s="13"/>
      <c r="H39" s="357"/>
      <c r="I39" s="358"/>
      <c r="J39" s="359"/>
      <c r="K39" s="228"/>
      <c r="L39" s="228"/>
      <c r="M39" s="228"/>
      <c r="N39" s="227"/>
      <c r="O39" s="227"/>
      <c r="P39" s="227"/>
      <c r="Q39" s="13"/>
      <c r="R39" s="470"/>
      <c r="S39" s="470"/>
      <c r="T39" s="470"/>
      <c r="U39" s="470"/>
      <c r="V39" s="470"/>
      <c r="W39" s="470"/>
      <c r="X39" s="470"/>
      <c r="Y39" s="29"/>
      <c r="Z39" s="19"/>
      <c r="AA39" s="15"/>
      <c r="AB39" s="15"/>
      <c r="AC39" s="172" t="s">
        <v>89</v>
      </c>
      <c r="AD39" s="172"/>
      <c r="AE39" s="172"/>
      <c r="AF39" s="172"/>
      <c r="AG39" s="172"/>
      <c r="AH39" s="172"/>
      <c r="AI39" s="172"/>
      <c r="AJ39" s="172"/>
      <c r="AK39" s="435">
        <f>SUM(AN39:AQ40)+AT39</f>
        <v>20</v>
      </c>
      <c r="AL39" s="435"/>
      <c r="AM39" s="13"/>
      <c r="AN39" s="228">
        <f>IF(D36=0,"",(D32*4)+Таблицы!M139+Таблицы!U139)</f>
        <v>20</v>
      </c>
      <c r="AO39" s="228"/>
      <c r="AP39" s="436"/>
      <c r="AQ39" s="436"/>
      <c r="AR39" s="13"/>
      <c r="AS39" s="13"/>
      <c r="AT39" s="287">
        <f>IF(Таблицы!M139=20,SUM(AX39*2,BB39*2/2,INT(BF39*2/3),INT(BJ39*2/4),INT(BN39*2/5)),SUM(AX39,INT(BB39/2),INT(BF39/3),INT(BJ39/4),INT(BN39/5)))</f>
        <v>0</v>
      </c>
      <c r="AU39" s="287"/>
      <c r="AV39" s="13"/>
      <c r="AW39" s="434"/>
      <c r="AX39" s="413"/>
      <c r="AY39" s="413"/>
      <c r="AZ39" s="13"/>
      <c r="BA39" s="434"/>
      <c r="BB39" s="413"/>
      <c r="BC39" s="413"/>
      <c r="BD39" s="13"/>
      <c r="BE39" s="434"/>
      <c r="BF39" s="413"/>
      <c r="BG39" s="413"/>
      <c r="BH39" s="13"/>
      <c r="BI39" s="434"/>
      <c r="BJ39" s="413"/>
      <c r="BK39" s="413"/>
      <c r="BL39" s="22"/>
      <c r="BM39" s="434"/>
      <c r="BN39" s="413"/>
      <c r="BO39" s="413"/>
      <c r="BP39" s="13"/>
      <c r="BQ39" s="29"/>
      <c r="BR39" s="13"/>
    </row>
    <row r="40" spans="1:70" ht="7.5" customHeight="1">
      <c r="A40" s="65"/>
      <c r="B40" s="67"/>
      <c r="C40" s="67"/>
      <c r="D40" s="46"/>
      <c r="E40" s="46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63"/>
      <c r="X40" s="63"/>
      <c r="Y40" s="66"/>
      <c r="Z40" s="19"/>
      <c r="AA40" s="15"/>
      <c r="AB40" s="15"/>
      <c r="AC40" s="172"/>
      <c r="AD40" s="172"/>
      <c r="AE40" s="172"/>
      <c r="AF40" s="172"/>
      <c r="AG40" s="172"/>
      <c r="AH40" s="172"/>
      <c r="AI40" s="172"/>
      <c r="AJ40" s="172"/>
      <c r="AK40" s="435"/>
      <c r="AL40" s="435"/>
      <c r="AM40" s="13"/>
      <c r="AN40" s="228"/>
      <c r="AO40" s="228"/>
      <c r="AP40" s="436"/>
      <c r="AQ40" s="436"/>
      <c r="AR40" s="13"/>
      <c r="AS40" s="13"/>
      <c r="AT40" s="228"/>
      <c r="AU40" s="228"/>
      <c r="AV40" s="13"/>
      <c r="AW40" s="434"/>
      <c r="AX40" s="413"/>
      <c r="AY40" s="413"/>
      <c r="AZ40" s="13"/>
      <c r="BA40" s="434"/>
      <c r="BB40" s="413"/>
      <c r="BC40" s="413"/>
      <c r="BD40" s="13"/>
      <c r="BE40" s="434"/>
      <c r="BF40" s="413"/>
      <c r="BG40" s="413"/>
      <c r="BH40" s="13"/>
      <c r="BI40" s="434"/>
      <c r="BJ40" s="413"/>
      <c r="BK40" s="413"/>
      <c r="BL40" s="13"/>
      <c r="BM40" s="434"/>
      <c r="BN40" s="413"/>
      <c r="BO40" s="413"/>
      <c r="BP40" s="13"/>
      <c r="BQ40" s="29"/>
      <c r="BR40" s="13"/>
    </row>
    <row r="41" spans="1:70" ht="7.5" customHeight="1" thickBot="1">
      <c r="A41" s="19"/>
      <c r="B41" s="7"/>
      <c r="C41" s="7"/>
      <c r="D41" s="13"/>
      <c r="E41" s="13"/>
      <c r="F41" s="3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4"/>
      <c r="X41" s="4"/>
      <c r="Y41" s="29"/>
      <c r="Z41" s="19"/>
      <c r="AA41" s="15"/>
      <c r="AB41" s="15"/>
      <c r="AC41" s="172" t="s">
        <v>90</v>
      </c>
      <c r="AD41" s="172"/>
      <c r="AE41" s="172"/>
      <c r="AF41" s="172"/>
      <c r="AG41" s="172"/>
      <c r="AH41" s="172"/>
      <c r="AI41" s="172"/>
      <c r="AJ41" s="172"/>
      <c r="AK41" s="435">
        <f>SUM(AN41:AQ42)+AT41</f>
        <v>25</v>
      </c>
      <c r="AL41" s="435"/>
      <c r="AM41" s="13"/>
      <c r="AN41" s="228">
        <f>IF(D36=0,"",(D38*5)+Таблицы!M140+Таблицы!U140)</f>
        <v>25</v>
      </c>
      <c r="AO41" s="228"/>
      <c r="AP41" s="436"/>
      <c r="AQ41" s="436"/>
      <c r="AR41" s="13"/>
      <c r="AS41" s="13"/>
      <c r="AT41" s="287">
        <f>IF(Таблицы!M140=20,SUM(AX41*2,BB41*2/2,INT(BF41*2/3),INT(BJ41*2/4),INT(BN41*2/5)),SUM(AX41,INT(BB41/2),INT(BF41/3),INT(BJ41/4),INT(BN41/5)))</f>
        <v>0</v>
      </c>
      <c r="AU41" s="287"/>
      <c r="AV41" s="13"/>
      <c r="AW41" s="434"/>
      <c r="AX41" s="413"/>
      <c r="AY41" s="413"/>
      <c r="AZ41" s="13"/>
      <c r="BA41" s="434"/>
      <c r="BB41" s="413"/>
      <c r="BC41" s="413"/>
      <c r="BD41" s="13"/>
      <c r="BE41" s="434"/>
      <c r="BF41" s="413"/>
      <c r="BG41" s="413"/>
      <c r="BH41" s="13"/>
      <c r="BI41" s="434"/>
      <c r="BJ41" s="413"/>
      <c r="BK41" s="413"/>
      <c r="BL41" s="13"/>
      <c r="BM41" s="434"/>
      <c r="BN41" s="413"/>
      <c r="BO41" s="413"/>
      <c r="BP41" s="13"/>
      <c r="BQ41" s="29"/>
      <c r="BR41" s="13"/>
    </row>
    <row r="42" spans="1:70" ht="7.5" customHeight="1">
      <c r="A42" s="19"/>
      <c r="B42" s="423" t="s">
        <v>257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 t="s">
        <v>222</v>
      </c>
      <c r="P42" s="424"/>
      <c r="Q42" s="425"/>
      <c r="R42" s="13"/>
      <c r="S42" s="454" t="s">
        <v>74</v>
      </c>
      <c r="T42" s="455"/>
      <c r="U42" s="455"/>
      <c r="V42" s="458" t="s">
        <v>8</v>
      </c>
      <c r="W42" s="458"/>
      <c r="X42" s="459"/>
      <c r="Y42" s="29"/>
      <c r="Z42" s="19"/>
      <c r="AA42" s="15"/>
      <c r="AB42" s="15"/>
      <c r="AC42" s="172"/>
      <c r="AD42" s="172"/>
      <c r="AE42" s="172"/>
      <c r="AF42" s="172"/>
      <c r="AG42" s="172"/>
      <c r="AH42" s="172"/>
      <c r="AI42" s="172"/>
      <c r="AJ42" s="172"/>
      <c r="AK42" s="435"/>
      <c r="AL42" s="435"/>
      <c r="AM42" s="13"/>
      <c r="AN42" s="228"/>
      <c r="AO42" s="228"/>
      <c r="AP42" s="436"/>
      <c r="AQ42" s="436"/>
      <c r="AR42" s="13"/>
      <c r="AS42" s="13"/>
      <c r="AT42" s="228"/>
      <c r="AU42" s="228"/>
      <c r="AV42" s="13"/>
      <c r="AW42" s="434"/>
      <c r="AX42" s="413"/>
      <c r="AY42" s="413"/>
      <c r="AZ42" s="13"/>
      <c r="BA42" s="434"/>
      <c r="BB42" s="413"/>
      <c r="BC42" s="413"/>
      <c r="BD42" s="13"/>
      <c r="BE42" s="434"/>
      <c r="BF42" s="413"/>
      <c r="BG42" s="413"/>
      <c r="BH42" s="13"/>
      <c r="BI42" s="434"/>
      <c r="BJ42" s="413"/>
      <c r="BK42" s="413"/>
      <c r="BL42" s="13"/>
      <c r="BM42" s="434"/>
      <c r="BN42" s="413"/>
      <c r="BO42" s="413"/>
      <c r="BP42" s="13"/>
      <c r="BQ42" s="29"/>
      <c r="BR42" s="13"/>
    </row>
    <row r="43" spans="1:70" ht="7.5" customHeight="1" thickBot="1">
      <c r="A43" s="16"/>
      <c r="B43" s="426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8"/>
      <c r="R43" s="13"/>
      <c r="S43" s="456"/>
      <c r="T43" s="457"/>
      <c r="U43" s="457"/>
      <c r="V43" s="460"/>
      <c r="W43" s="460"/>
      <c r="X43" s="461"/>
      <c r="Y43" s="29"/>
      <c r="Z43" s="19"/>
      <c r="AA43" s="15"/>
      <c r="AB43" s="15"/>
      <c r="AC43" s="172" t="s">
        <v>91</v>
      </c>
      <c r="AD43" s="172"/>
      <c r="AE43" s="172"/>
      <c r="AF43" s="172"/>
      <c r="AG43" s="172"/>
      <c r="AH43" s="172"/>
      <c r="AI43" s="172"/>
      <c r="AJ43" s="172"/>
      <c r="AK43" s="435">
        <f>SUM(AN43:AQ44)+AT43</f>
        <v>20</v>
      </c>
      <c r="AL43" s="435"/>
      <c r="AM43" s="13"/>
      <c r="AN43" s="228">
        <f>IF(D36=0,"",(2*SUM(D34,D30)+Таблицы!M141+Таблицы!U141))</f>
        <v>20</v>
      </c>
      <c r="AO43" s="228"/>
      <c r="AP43" s="436"/>
      <c r="AQ43" s="436"/>
      <c r="AR43" s="13"/>
      <c r="AS43" s="13"/>
      <c r="AT43" s="287">
        <f>IF(Таблицы!M141=20,SUM(AX43*2,BB43*2/2,INT(BF43*2/3),INT(BJ43*2/4),INT(BN43*2/5)),SUM(AX43,INT(BB43/2),INT(BF43/3),INT(BJ43/4),INT(BN43/5)))</f>
        <v>0</v>
      </c>
      <c r="AU43" s="287"/>
      <c r="AV43" s="13"/>
      <c r="AW43" s="434"/>
      <c r="AX43" s="413"/>
      <c r="AY43" s="413"/>
      <c r="AZ43" s="13"/>
      <c r="BA43" s="434"/>
      <c r="BB43" s="413"/>
      <c r="BC43" s="413"/>
      <c r="BD43" s="13"/>
      <c r="BE43" s="434"/>
      <c r="BF43" s="413"/>
      <c r="BG43" s="413"/>
      <c r="BH43" s="13"/>
      <c r="BI43" s="434"/>
      <c r="BJ43" s="413"/>
      <c r="BK43" s="413"/>
      <c r="BL43" s="13"/>
      <c r="BM43" s="434"/>
      <c r="BN43" s="413"/>
      <c r="BO43" s="413"/>
      <c r="BP43" s="13"/>
      <c r="BQ43" s="29"/>
      <c r="BR43" s="13"/>
    </row>
    <row r="44" spans="1:70" ht="7.5" customHeight="1">
      <c r="A44" s="19"/>
      <c r="B44" s="336" t="s">
        <v>72</v>
      </c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287">
        <f>SUM(S44:X45)</f>
        <v>30</v>
      </c>
      <c r="P44" s="287"/>
      <c r="Q44" s="465"/>
      <c r="R44" s="13"/>
      <c r="S44" s="472">
        <f>15+(D26+(2*D30))+G20*(B16-1)+INDEX(Таблицы!T2:T10,Таблицы!H1,1)</f>
        <v>30</v>
      </c>
      <c r="T44" s="472"/>
      <c r="U44" s="472"/>
      <c r="V44" s="254"/>
      <c r="W44" s="254"/>
      <c r="X44" s="254"/>
      <c r="Y44" s="29"/>
      <c r="Z44" s="19"/>
      <c r="AA44" s="15"/>
      <c r="AB44" s="8"/>
      <c r="AC44" s="172"/>
      <c r="AD44" s="172"/>
      <c r="AE44" s="172"/>
      <c r="AF44" s="172"/>
      <c r="AG44" s="172"/>
      <c r="AH44" s="172"/>
      <c r="AI44" s="172"/>
      <c r="AJ44" s="172"/>
      <c r="AK44" s="435"/>
      <c r="AL44" s="435"/>
      <c r="AM44" s="13"/>
      <c r="AN44" s="228"/>
      <c r="AO44" s="228"/>
      <c r="AP44" s="436"/>
      <c r="AQ44" s="436"/>
      <c r="AR44" s="15"/>
      <c r="AS44" s="13"/>
      <c r="AT44" s="228"/>
      <c r="AU44" s="228"/>
      <c r="AV44" s="13"/>
      <c r="AW44" s="434"/>
      <c r="AX44" s="413"/>
      <c r="AY44" s="413"/>
      <c r="AZ44" s="13"/>
      <c r="BA44" s="434"/>
      <c r="BB44" s="413"/>
      <c r="BC44" s="413"/>
      <c r="BD44" s="13"/>
      <c r="BE44" s="434"/>
      <c r="BF44" s="413"/>
      <c r="BG44" s="413"/>
      <c r="BH44" s="13"/>
      <c r="BI44" s="434"/>
      <c r="BJ44" s="413"/>
      <c r="BK44" s="413"/>
      <c r="BL44" s="13"/>
      <c r="BM44" s="434"/>
      <c r="BN44" s="413"/>
      <c r="BO44" s="413"/>
      <c r="BP44" s="13"/>
      <c r="BQ44" s="29"/>
      <c r="BR44" s="13"/>
    </row>
    <row r="45" spans="1:81" ht="7.5" customHeight="1">
      <c r="A45" s="16"/>
      <c r="B45" s="408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228"/>
      <c r="P45" s="228"/>
      <c r="Q45" s="439"/>
      <c r="R45" s="13"/>
      <c r="S45" s="473"/>
      <c r="T45" s="473"/>
      <c r="U45" s="473"/>
      <c r="V45" s="227"/>
      <c r="W45" s="227"/>
      <c r="X45" s="227"/>
      <c r="Y45" s="29"/>
      <c r="Z45" s="65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66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</row>
    <row r="46" spans="1:70" ht="7.5" customHeight="1" thickBot="1">
      <c r="A46" s="19"/>
      <c r="B46" s="408" t="s">
        <v>259</v>
      </c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228">
        <f>SUM(S46:X47)</f>
        <v>150</v>
      </c>
      <c r="P46" s="228"/>
      <c r="Q46" s="439"/>
      <c r="R46" s="13"/>
      <c r="S46" s="471">
        <f>IF(OR(Таблицы!F138=4,Таблицы!F139=4),D26*15,25+(D26*25))</f>
        <v>150</v>
      </c>
      <c r="T46" s="471"/>
      <c r="U46" s="471"/>
      <c r="V46" s="227"/>
      <c r="W46" s="227"/>
      <c r="X46" s="227"/>
      <c r="Y46" s="29"/>
      <c r="Z46" s="19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5"/>
      <c r="AX46" s="15"/>
      <c r="AY46" s="15"/>
      <c r="AZ46" s="15"/>
      <c r="BA46" s="15"/>
      <c r="BB46" s="15"/>
      <c r="BC46" s="15"/>
      <c r="BD46" s="15"/>
      <c r="BE46" s="13"/>
      <c r="BF46" s="13"/>
      <c r="BG46" s="13"/>
      <c r="BH46" s="15"/>
      <c r="BI46" s="15"/>
      <c r="BJ46" s="13"/>
      <c r="BK46" s="13"/>
      <c r="BL46" s="13"/>
      <c r="BM46" s="13"/>
      <c r="BN46" s="13"/>
      <c r="BO46" s="13"/>
      <c r="BP46" s="13"/>
      <c r="BQ46" s="29"/>
      <c r="BR46" s="13"/>
    </row>
    <row r="47" spans="1:70" ht="7.5" customHeight="1">
      <c r="A47" s="16"/>
      <c r="B47" s="408"/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228"/>
      <c r="P47" s="228"/>
      <c r="Q47" s="439"/>
      <c r="R47" s="13"/>
      <c r="S47" s="471"/>
      <c r="T47" s="471"/>
      <c r="U47" s="471"/>
      <c r="V47" s="227"/>
      <c r="W47" s="227"/>
      <c r="X47" s="227"/>
      <c r="Y47" s="29"/>
      <c r="Z47" s="19"/>
      <c r="AA47" s="13"/>
      <c r="AH47" s="176" t="s">
        <v>96</v>
      </c>
      <c r="AI47" s="177"/>
      <c r="AJ47" s="177"/>
      <c r="AK47" s="177"/>
      <c r="AL47" s="177"/>
      <c r="AM47" s="177"/>
      <c r="AN47" s="177"/>
      <c r="AO47" s="177"/>
      <c r="AP47" s="177"/>
      <c r="AQ47" s="177"/>
      <c r="AR47" s="178"/>
      <c r="AS47" s="23"/>
      <c r="AT47" s="402" t="s">
        <v>102</v>
      </c>
      <c r="AU47" s="263"/>
      <c r="AV47" s="263"/>
      <c r="AW47" s="263"/>
      <c r="AX47" s="263"/>
      <c r="AY47" s="263"/>
      <c r="AZ47" s="263"/>
      <c r="BA47" s="263"/>
      <c r="BB47" s="262" t="s">
        <v>276</v>
      </c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4"/>
      <c r="BP47" s="13"/>
      <c r="BQ47" s="29"/>
      <c r="BR47" s="13"/>
    </row>
    <row r="48" spans="1:70" ht="7.5" customHeight="1">
      <c r="A48" s="19"/>
      <c r="B48" s="408" t="s">
        <v>260</v>
      </c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228">
        <f>SUM(S48:X49)</f>
        <v>7</v>
      </c>
      <c r="P48" s="228"/>
      <c r="Q48" s="439"/>
      <c r="R48" s="13"/>
      <c r="S48" s="471">
        <f>IF(K26="","",SUM(ROUNDDOWN(5+(D36/2),0),IF(OR(Таблицы!F138=3,Таблицы!F139=3),Таблицы!L39,0)))</f>
        <v>7</v>
      </c>
      <c r="T48" s="471"/>
      <c r="U48" s="471"/>
      <c r="V48" s="227"/>
      <c r="W48" s="227"/>
      <c r="X48" s="227"/>
      <c r="Y48" s="29"/>
      <c r="Z48" s="19"/>
      <c r="AA48" s="4"/>
      <c r="AH48" s="179"/>
      <c r="AI48" s="180"/>
      <c r="AJ48" s="180"/>
      <c r="AK48" s="180"/>
      <c r="AL48" s="180"/>
      <c r="AM48" s="180"/>
      <c r="AN48" s="180"/>
      <c r="AO48" s="180"/>
      <c r="AP48" s="180"/>
      <c r="AQ48" s="180"/>
      <c r="AR48" s="181"/>
      <c r="AS48" s="23"/>
      <c r="AT48" s="403"/>
      <c r="AU48" s="266"/>
      <c r="AV48" s="266"/>
      <c r="AW48" s="266"/>
      <c r="AX48" s="266"/>
      <c r="AY48" s="266"/>
      <c r="AZ48" s="266"/>
      <c r="BA48" s="266"/>
      <c r="BB48" s="265"/>
      <c r="BC48" s="266"/>
      <c r="BD48" s="266"/>
      <c r="BE48" s="266"/>
      <c r="BF48" s="266"/>
      <c r="BG48" s="266"/>
      <c r="BH48" s="266"/>
      <c r="BI48" s="266"/>
      <c r="BJ48" s="266"/>
      <c r="BK48" s="266"/>
      <c r="BL48" s="266"/>
      <c r="BM48" s="266"/>
      <c r="BN48" s="266"/>
      <c r="BO48" s="267"/>
      <c r="BP48" s="13"/>
      <c r="BQ48" s="29"/>
      <c r="BR48" s="13"/>
    </row>
    <row r="49" spans="1:70" ht="7.5" customHeight="1" thickBot="1">
      <c r="A49" s="24"/>
      <c r="B49" s="40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228"/>
      <c r="P49" s="228"/>
      <c r="Q49" s="439"/>
      <c r="R49" s="13"/>
      <c r="S49" s="471"/>
      <c r="T49" s="471"/>
      <c r="U49" s="471"/>
      <c r="V49" s="227"/>
      <c r="W49" s="227"/>
      <c r="X49" s="227"/>
      <c r="Y49" s="29"/>
      <c r="Z49" s="3"/>
      <c r="AA49" s="4"/>
      <c r="AH49" s="173"/>
      <c r="AI49" s="174"/>
      <c r="AJ49" s="174"/>
      <c r="AK49" s="174"/>
      <c r="AL49" s="174"/>
      <c r="AM49" s="174"/>
      <c r="AN49" s="174"/>
      <c r="AO49" s="174"/>
      <c r="AP49" s="174"/>
      <c r="AQ49" s="174"/>
      <c r="AR49" s="175"/>
      <c r="AS49" s="13"/>
      <c r="AT49" s="404"/>
      <c r="AU49" s="269"/>
      <c r="AV49" s="269"/>
      <c r="AW49" s="269"/>
      <c r="AX49" s="269"/>
      <c r="AY49" s="269"/>
      <c r="AZ49" s="269"/>
      <c r="BA49" s="269"/>
      <c r="BB49" s="268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70"/>
      <c r="BP49" s="13"/>
      <c r="BQ49" s="29"/>
      <c r="BR49" s="13"/>
    </row>
    <row r="50" spans="1:70" ht="7.5" customHeight="1">
      <c r="A50" s="24"/>
      <c r="B50" s="408" t="s">
        <v>261</v>
      </c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228">
        <f>SUM(S50:X51)</f>
        <v>10</v>
      </c>
      <c r="P50" s="228"/>
      <c r="Q50" s="439"/>
      <c r="R50" s="13"/>
      <c r="S50" s="471">
        <f>IF(OR(Таблицы!F138=7,Таблицы!F139=7),SUM(2*D28,Таблицы!L44),2*D28)</f>
        <v>10</v>
      </c>
      <c r="T50" s="471"/>
      <c r="U50" s="471"/>
      <c r="V50" s="227"/>
      <c r="W50" s="227"/>
      <c r="X50" s="227"/>
      <c r="Y50" s="29"/>
      <c r="Z50" s="19"/>
      <c r="AA50" s="13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13"/>
      <c r="AT50" s="405"/>
      <c r="AU50" s="405"/>
      <c r="AV50" s="405"/>
      <c r="AW50" s="405"/>
      <c r="AX50" s="405"/>
      <c r="AY50" s="405"/>
      <c r="AZ50" s="405"/>
      <c r="BA50" s="405"/>
      <c r="BB50" s="271"/>
      <c r="BC50" s="271"/>
      <c r="BD50" s="271"/>
      <c r="BE50" s="271"/>
      <c r="BF50" s="271"/>
      <c r="BG50" s="271"/>
      <c r="BH50" s="271"/>
      <c r="BI50" s="271"/>
      <c r="BJ50" s="271"/>
      <c r="BK50" s="271"/>
      <c r="BL50" s="271"/>
      <c r="BM50" s="271"/>
      <c r="BN50" s="271"/>
      <c r="BO50" s="271"/>
      <c r="BP50" s="13"/>
      <c r="BQ50" s="29"/>
      <c r="BR50" s="13"/>
    </row>
    <row r="51" spans="1:70" ht="7.5" customHeight="1">
      <c r="A51" s="19"/>
      <c r="B51" s="408"/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228"/>
      <c r="P51" s="228"/>
      <c r="Q51" s="439"/>
      <c r="R51" s="4"/>
      <c r="S51" s="471"/>
      <c r="T51" s="471"/>
      <c r="U51" s="471"/>
      <c r="V51" s="227"/>
      <c r="W51" s="227"/>
      <c r="X51" s="227"/>
      <c r="Y51" s="37"/>
      <c r="Z51" s="19"/>
      <c r="AA51" s="4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13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13"/>
      <c r="BQ51" s="29"/>
      <c r="BR51" s="13"/>
    </row>
    <row r="52" spans="1:70" ht="7.5" customHeight="1">
      <c r="A52" s="16"/>
      <c r="B52" s="408" t="s">
        <v>262</v>
      </c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228">
        <f>SUM(S52:X53)</f>
        <v>1</v>
      </c>
      <c r="P52" s="228"/>
      <c r="Q52" s="439"/>
      <c r="R52" s="4"/>
      <c r="S52" s="471">
        <f>IF(K26="","",SUM(VLOOKUP(D26,Таблицы!E12:F26,2,FALSE)+IF(Таблицы!H1=5,5,0),IF(OR(Таблицы!F138=8,Таблицы!F139=8),Таблицы!L45,0),IF(OR(Таблицы!F138=24,Таблицы!F139=24),Таблицы!L60,0)))</f>
        <v>1</v>
      </c>
      <c r="T52" s="471"/>
      <c r="U52" s="471"/>
      <c r="V52" s="227"/>
      <c r="W52" s="227"/>
      <c r="X52" s="227"/>
      <c r="Y52" s="37"/>
      <c r="Z52" s="3"/>
      <c r="AA52" s="4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13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13"/>
      <c r="BQ52" s="29"/>
      <c r="BR52" s="13"/>
    </row>
    <row r="53" spans="1:70" ht="7.5" customHeight="1">
      <c r="A53" s="19"/>
      <c r="B53" s="40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228"/>
      <c r="P53" s="228"/>
      <c r="Q53" s="439"/>
      <c r="R53" s="13"/>
      <c r="S53" s="471"/>
      <c r="T53" s="471"/>
      <c r="U53" s="471"/>
      <c r="V53" s="227"/>
      <c r="W53" s="227"/>
      <c r="X53" s="227"/>
      <c r="Y53" s="29"/>
      <c r="Z53" s="19"/>
      <c r="AA53" s="13"/>
      <c r="AH53" s="406" t="str">
        <f>INDEX(Таблицы!P35:W63,Таблицы!F138,Таблицы!H1)</f>
        <v> </v>
      </c>
      <c r="AI53" s="406"/>
      <c r="AJ53" s="406"/>
      <c r="AK53" s="406"/>
      <c r="AL53" s="406"/>
      <c r="AM53" s="406"/>
      <c r="AN53" s="406"/>
      <c r="AO53" s="406"/>
      <c r="AP53" s="406"/>
      <c r="AQ53" s="406"/>
      <c r="AR53" s="406"/>
      <c r="AS53" s="13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13"/>
      <c r="BQ53" s="29"/>
      <c r="BR53" s="13"/>
    </row>
    <row r="54" spans="1:70" ht="7.5" customHeight="1">
      <c r="A54" s="16"/>
      <c r="B54" s="408" t="s">
        <v>263</v>
      </c>
      <c r="C54" s="398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497">
        <f>SUM(S54:X55)</f>
        <v>0.05</v>
      </c>
      <c r="P54" s="497"/>
      <c r="Q54" s="498"/>
      <c r="R54" s="4"/>
      <c r="S54" s="482">
        <f>IF(OR(Таблицы!F138=6,Таблицы!F139=6),SUM(D38/100,Таблицы!L42),D38/100)</f>
        <v>0.05</v>
      </c>
      <c r="T54" s="482"/>
      <c r="U54" s="482"/>
      <c r="V54" s="495"/>
      <c r="W54" s="495"/>
      <c r="X54" s="495"/>
      <c r="Y54" s="37"/>
      <c r="Z54" s="19"/>
      <c r="AA54" s="4"/>
      <c r="AH54" s="406"/>
      <c r="AI54" s="406"/>
      <c r="AJ54" s="406"/>
      <c r="AK54" s="406"/>
      <c r="AL54" s="406"/>
      <c r="AM54" s="406"/>
      <c r="AN54" s="406"/>
      <c r="AO54" s="406"/>
      <c r="AP54" s="406"/>
      <c r="AQ54" s="406"/>
      <c r="AR54" s="406"/>
      <c r="AS54" s="13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13"/>
      <c r="BQ54" s="29"/>
      <c r="BR54" s="13"/>
    </row>
    <row r="55" spans="1:70" ht="7.5" customHeight="1">
      <c r="A55" s="19"/>
      <c r="B55" s="40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497"/>
      <c r="P55" s="497"/>
      <c r="Q55" s="498"/>
      <c r="R55" s="4"/>
      <c r="S55" s="482"/>
      <c r="T55" s="482"/>
      <c r="U55" s="482"/>
      <c r="V55" s="495"/>
      <c r="W55" s="495"/>
      <c r="X55" s="495"/>
      <c r="Y55" s="37"/>
      <c r="Z55" s="3"/>
      <c r="AA55" s="4"/>
      <c r="AH55" s="406"/>
      <c r="AI55" s="406"/>
      <c r="AJ55" s="406"/>
      <c r="AK55" s="406"/>
      <c r="AL55" s="406"/>
      <c r="AM55" s="406"/>
      <c r="AN55" s="406"/>
      <c r="AO55" s="406"/>
      <c r="AP55" s="406"/>
      <c r="AQ55" s="406"/>
      <c r="AR55" s="406"/>
      <c r="AS55" s="13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13"/>
      <c r="BQ55" s="29"/>
      <c r="BR55" s="13"/>
    </row>
    <row r="56" spans="1:70" ht="7.5" customHeight="1">
      <c r="A56" s="16"/>
      <c r="B56" s="408" t="s">
        <v>264</v>
      </c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228">
        <f>SUM(S56:X57)</f>
        <v>1</v>
      </c>
      <c r="P56" s="228"/>
      <c r="Q56" s="439"/>
      <c r="R56" s="13"/>
      <c r="S56" s="471">
        <f>IF(D30=0,"",SUM(VLOOKUP(D30,Таблицы!H12:I25,2,FALSE),IF(OR(Таблицы!F138=2,Таблицы!F139=2),2,0)))</f>
        <v>1</v>
      </c>
      <c r="T56" s="471"/>
      <c r="U56" s="471"/>
      <c r="V56" s="227"/>
      <c r="W56" s="227"/>
      <c r="X56" s="227"/>
      <c r="Y56" s="29"/>
      <c r="Z56" s="19"/>
      <c r="AA56" s="13"/>
      <c r="AH56" s="406"/>
      <c r="AI56" s="406"/>
      <c r="AJ56" s="406"/>
      <c r="AK56" s="406"/>
      <c r="AL56" s="406"/>
      <c r="AM56" s="406"/>
      <c r="AN56" s="406"/>
      <c r="AO56" s="406"/>
      <c r="AP56" s="406"/>
      <c r="AQ56" s="406"/>
      <c r="AR56" s="406"/>
      <c r="AS56" s="13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13"/>
      <c r="BQ56" s="29"/>
      <c r="BR56" s="13"/>
    </row>
    <row r="57" spans="1:70" ht="7.5" customHeight="1">
      <c r="A57" s="19"/>
      <c r="B57" s="408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228"/>
      <c r="P57" s="228"/>
      <c r="Q57" s="439"/>
      <c r="R57" s="4"/>
      <c r="S57" s="471"/>
      <c r="T57" s="471"/>
      <c r="U57" s="471"/>
      <c r="V57" s="227"/>
      <c r="W57" s="227"/>
      <c r="X57" s="227"/>
      <c r="Y57" s="37"/>
      <c r="Z57" s="19"/>
      <c r="AA57" s="4"/>
      <c r="AH57" s="406"/>
      <c r="AI57" s="406"/>
      <c r="AJ57" s="406"/>
      <c r="AK57" s="406"/>
      <c r="AL57" s="406"/>
      <c r="AM57" s="406"/>
      <c r="AN57" s="406"/>
      <c r="AO57" s="406"/>
      <c r="AP57" s="406"/>
      <c r="AQ57" s="406"/>
      <c r="AR57" s="406"/>
      <c r="AS57" s="13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13"/>
      <c r="BQ57" s="29"/>
      <c r="BR57" s="13"/>
    </row>
    <row r="58" spans="1:70" ht="7.5" customHeight="1">
      <c r="A58" s="16"/>
      <c r="B58" s="408" t="s">
        <v>265</v>
      </c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497">
        <f>SUM(S58:X59)</f>
        <v>0.25</v>
      </c>
      <c r="P58" s="497"/>
      <c r="Q58" s="498"/>
      <c r="R58" s="4"/>
      <c r="S58" s="482">
        <f>IF(D30=0,"",SUM(IF(OR(Таблицы!F138=2,Таблицы!F139=2),INDEX(Таблицы!F2:S10,Таблицы!H1,11),IF(((5*D30)/100)+INDEX(Таблицы!F2:S10,Таблицы!H1,11)&gt;1,1,((5*D30)/100)+INDEX(Таблицы!F2:S10,Таблицы!H1,11)))))</f>
        <v>0.25</v>
      </c>
      <c r="T58" s="482"/>
      <c r="U58" s="482"/>
      <c r="V58" s="495"/>
      <c r="W58" s="495"/>
      <c r="X58" s="495"/>
      <c r="Y58" s="37"/>
      <c r="Z58" s="3"/>
      <c r="AA58" s="4"/>
      <c r="AH58" s="406"/>
      <c r="AI58" s="406"/>
      <c r="AJ58" s="406"/>
      <c r="AK58" s="406"/>
      <c r="AL58" s="406"/>
      <c r="AM58" s="406"/>
      <c r="AN58" s="406"/>
      <c r="AO58" s="406"/>
      <c r="AP58" s="406"/>
      <c r="AQ58" s="406"/>
      <c r="AR58" s="406"/>
      <c r="AS58" s="13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13"/>
      <c r="BQ58" s="29"/>
      <c r="BR58" s="13"/>
    </row>
    <row r="59" spans="1:70" ht="7.5" customHeight="1">
      <c r="A59" s="19"/>
      <c r="B59" s="40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497"/>
      <c r="P59" s="497"/>
      <c r="Q59" s="498"/>
      <c r="R59" s="13"/>
      <c r="S59" s="482"/>
      <c r="T59" s="482"/>
      <c r="U59" s="482"/>
      <c r="V59" s="495"/>
      <c r="W59" s="495"/>
      <c r="X59" s="495"/>
      <c r="Y59" s="29"/>
      <c r="Z59" s="19"/>
      <c r="AA59" s="13"/>
      <c r="AH59" s="407"/>
      <c r="AI59" s="407"/>
      <c r="AJ59" s="407"/>
      <c r="AK59" s="407"/>
      <c r="AL59" s="407"/>
      <c r="AM59" s="407"/>
      <c r="AN59" s="407"/>
      <c r="AO59" s="407"/>
      <c r="AP59" s="407"/>
      <c r="AQ59" s="407"/>
      <c r="AR59" s="407"/>
      <c r="AS59" s="13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13"/>
      <c r="BQ59" s="29"/>
      <c r="BR59" s="13"/>
    </row>
    <row r="60" spans="1:70" ht="7.5" customHeight="1">
      <c r="A60" s="16"/>
      <c r="B60" s="408" t="s">
        <v>266</v>
      </c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497">
        <f>SUM(S60:X61)</f>
        <v>0.1</v>
      </c>
      <c r="P60" s="497"/>
      <c r="Q60" s="498"/>
      <c r="R60" s="4"/>
      <c r="S60" s="482">
        <f>IF(OR(Таблицы!F138=19,Таблицы!F139=19),SUM(Таблицы!L56,IF(D30=0,"",IF(OR(Таблицы!F138=2,Таблицы!F139=2),INDEX(Таблицы!F2:S10,Таблицы!H1,12),IF(((2*D30)/100)+INDEX(Таблицы!F2:S10,Таблицы!H1,12)&gt;1,1,((2*D30)/100)+INDEX(Таблицы!F2:S10,Таблицы!H1,12))))),IF(D30=0,"",IF(OR(Таблицы!F138=2,Таблицы!F139=2),INDEX(Таблицы!F2:S10,Таблицы!H1,12),IF(((2*D30)/100)+INDEX(Таблицы!F2:S10,Таблицы!H1,12)&gt;1,1,((2*D30)/100)+INDEX(Таблицы!F2:S10,Таблицы!H1,12)))))</f>
        <v>0.1</v>
      </c>
      <c r="T60" s="482"/>
      <c r="U60" s="482"/>
      <c r="V60" s="495"/>
      <c r="W60" s="495"/>
      <c r="X60" s="495"/>
      <c r="Y60" s="37"/>
      <c r="Z60" s="19"/>
      <c r="AA60" s="4"/>
      <c r="AH60" s="407"/>
      <c r="AI60" s="407"/>
      <c r="AJ60" s="407"/>
      <c r="AK60" s="407"/>
      <c r="AL60" s="407"/>
      <c r="AM60" s="407"/>
      <c r="AN60" s="407"/>
      <c r="AO60" s="407"/>
      <c r="AP60" s="407"/>
      <c r="AQ60" s="407"/>
      <c r="AR60" s="407"/>
      <c r="AS60" s="13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13"/>
      <c r="BQ60" s="29"/>
      <c r="BR60" s="13"/>
    </row>
    <row r="61" spans="1:70" ht="7.5" customHeight="1">
      <c r="A61" s="19"/>
      <c r="B61" s="408"/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497"/>
      <c r="P61" s="497"/>
      <c r="Q61" s="498"/>
      <c r="R61" s="4"/>
      <c r="S61" s="482"/>
      <c r="T61" s="482"/>
      <c r="U61" s="482"/>
      <c r="V61" s="495"/>
      <c r="W61" s="495"/>
      <c r="X61" s="495"/>
      <c r="Y61" s="37"/>
      <c r="Z61" s="3"/>
      <c r="AA61" s="4"/>
      <c r="AH61" s="407"/>
      <c r="AI61" s="407"/>
      <c r="AJ61" s="407"/>
      <c r="AK61" s="407"/>
      <c r="AL61" s="407"/>
      <c r="AM61" s="407"/>
      <c r="AN61" s="407"/>
      <c r="AO61" s="407"/>
      <c r="AP61" s="407"/>
      <c r="AQ61" s="407"/>
      <c r="AR61" s="407"/>
      <c r="AS61" s="13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13"/>
      <c r="BQ61" s="29"/>
      <c r="BR61" s="13"/>
    </row>
    <row r="62" spans="1:70" ht="7.5" customHeight="1">
      <c r="A62" s="16"/>
      <c r="B62" s="408" t="s">
        <v>267</v>
      </c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54" t="str">
        <f>IF(S62="ИММУНИТЕТ","100/100",IF(V62="",S62,CONCATENATE(SUM(LEFT(S62,2)*1,LEFT(V62,2)*1),"/",SUM(RIGHT(S62,2)*1,RIGHT(V62,2)*1))))</f>
        <v>00/00</v>
      </c>
      <c r="P62" s="355"/>
      <c r="Q62" s="493"/>
      <c r="R62" s="13"/>
      <c r="S62" s="471" t="str">
        <f>IF(D28=0,"",INDEX(Таблицы!F2:N10,Таблицы!H1,9))</f>
        <v>00/00</v>
      </c>
      <c r="T62" s="471"/>
      <c r="U62" s="471"/>
      <c r="V62" s="496"/>
      <c r="W62" s="496"/>
      <c r="X62" s="496"/>
      <c r="Y62" s="29"/>
      <c r="Z62" s="19"/>
      <c r="AA62" s="13"/>
      <c r="AH62" s="406" t="str">
        <f>INDEX(Таблицы!P35:W63,Таблицы!F139,Таблицы!H1)</f>
        <v> </v>
      </c>
      <c r="AI62" s="406"/>
      <c r="AJ62" s="406"/>
      <c r="AK62" s="406"/>
      <c r="AL62" s="406"/>
      <c r="AM62" s="406"/>
      <c r="AN62" s="406"/>
      <c r="AO62" s="406"/>
      <c r="AP62" s="406"/>
      <c r="AQ62" s="406"/>
      <c r="AR62" s="406"/>
      <c r="AS62" s="13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13"/>
      <c r="BQ62" s="29"/>
      <c r="BR62" s="13"/>
    </row>
    <row r="63" spans="1:70" ht="7.5" customHeight="1">
      <c r="A63" s="19"/>
      <c r="B63" s="408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57"/>
      <c r="P63" s="358"/>
      <c r="Q63" s="494"/>
      <c r="R63" s="4"/>
      <c r="S63" s="471"/>
      <c r="T63" s="471"/>
      <c r="U63" s="471"/>
      <c r="V63" s="496"/>
      <c r="W63" s="496"/>
      <c r="X63" s="496"/>
      <c r="Y63" s="37"/>
      <c r="Z63" s="19"/>
      <c r="AA63" s="4"/>
      <c r="AH63" s="406"/>
      <c r="AI63" s="406"/>
      <c r="AJ63" s="406"/>
      <c r="AK63" s="406"/>
      <c r="AL63" s="406"/>
      <c r="AM63" s="406"/>
      <c r="AN63" s="406"/>
      <c r="AO63" s="406"/>
      <c r="AP63" s="406"/>
      <c r="AQ63" s="406"/>
      <c r="AR63" s="406"/>
      <c r="AS63" s="13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2"/>
      <c r="BP63" s="13"/>
      <c r="BQ63" s="29"/>
      <c r="BR63" s="13"/>
    </row>
    <row r="64" spans="1:70" ht="7.5" customHeight="1">
      <c r="A64" s="16"/>
      <c r="B64" s="408" t="s">
        <v>268</v>
      </c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497">
        <f>SUM(S64:X65)</f>
        <v>0.1</v>
      </c>
      <c r="P64" s="497"/>
      <c r="Q64" s="498"/>
      <c r="R64" s="4"/>
      <c r="S64" s="482">
        <f>IF(D26=0,"",INDEX(Таблицы!F2:M10,Таблицы!H1,8))</f>
        <v>0.1</v>
      </c>
      <c r="T64" s="482"/>
      <c r="U64" s="482"/>
      <c r="V64" s="495"/>
      <c r="W64" s="495"/>
      <c r="X64" s="495"/>
      <c r="Y64" s="37"/>
      <c r="Z64" s="3"/>
      <c r="AA64" s="4"/>
      <c r="AH64" s="406"/>
      <c r="AI64" s="406"/>
      <c r="AJ64" s="406"/>
      <c r="AK64" s="406"/>
      <c r="AL64" s="406"/>
      <c r="AM64" s="406"/>
      <c r="AN64" s="406"/>
      <c r="AO64" s="406"/>
      <c r="AP64" s="406"/>
      <c r="AQ64" s="406"/>
      <c r="AR64" s="406"/>
      <c r="AS64" s="13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13"/>
      <c r="BQ64" s="29"/>
      <c r="BR64" s="13"/>
    </row>
    <row r="65" spans="1:70" ht="7.5" customHeight="1">
      <c r="A65" s="19"/>
      <c r="B65" s="40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497"/>
      <c r="P65" s="497"/>
      <c r="Q65" s="498"/>
      <c r="R65" s="13"/>
      <c r="S65" s="482"/>
      <c r="T65" s="482"/>
      <c r="U65" s="482"/>
      <c r="V65" s="495"/>
      <c r="W65" s="495"/>
      <c r="X65" s="495"/>
      <c r="Y65" s="29"/>
      <c r="Z65" s="19"/>
      <c r="AA65" s="13"/>
      <c r="AH65" s="406"/>
      <c r="AI65" s="406"/>
      <c r="AJ65" s="406"/>
      <c r="AK65" s="406"/>
      <c r="AL65" s="406"/>
      <c r="AM65" s="406"/>
      <c r="AN65" s="406"/>
      <c r="AO65" s="406"/>
      <c r="AP65" s="406"/>
      <c r="AQ65" s="406"/>
      <c r="AR65" s="406"/>
      <c r="AS65" s="13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13"/>
      <c r="BQ65" s="29"/>
      <c r="BR65" s="13"/>
    </row>
    <row r="66" spans="1:70" ht="7.5" customHeight="1">
      <c r="A66" s="20"/>
      <c r="B66" s="408" t="s">
        <v>269</v>
      </c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228">
        <f>SUM(S66:X67)</f>
        <v>5</v>
      </c>
      <c r="P66" s="228"/>
      <c r="Q66" s="439"/>
      <c r="R66" s="4"/>
      <c r="S66" s="471">
        <f>IF(OR(Таблицы!F138=22,Таблицы!F139=22),SUM(IF(OR(Таблицы!F138=7,Таблицы!F139=7),Таблицы!L43,D36),Таблицы!L58),IF(OR(Таблицы!F138=7,Таблицы!F139=7),Таблицы!L43,D36))</f>
        <v>5</v>
      </c>
      <c r="T66" s="471"/>
      <c r="U66" s="471"/>
      <c r="V66" s="227"/>
      <c r="W66" s="227"/>
      <c r="X66" s="227"/>
      <c r="Y66" s="37"/>
      <c r="Z66" s="19"/>
      <c r="AA66" s="4"/>
      <c r="AH66" s="406"/>
      <c r="AI66" s="406"/>
      <c r="AJ66" s="406"/>
      <c r="AK66" s="406"/>
      <c r="AL66" s="406"/>
      <c r="AM66" s="406"/>
      <c r="AN66" s="406"/>
      <c r="AO66" s="406"/>
      <c r="AP66" s="406"/>
      <c r="AQ66" s="406"/>
      <c r="AR66" s="406"/>
      <c r="AS66" s="13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13"/>
      <c r="BQ66" s="29"/>
      <c r="BR66" s="13"/>
    </row>
    <row r="67" spans="1:75" ht="7.5" customHeight="1" thickBot="1">
      <c r="A67" s="20"/>
      <c r="B67" s="337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440"/>
      <c r="P67" s="440"/>
      <c r="Q67" s="441"/>
      <c r="R67" s="4"/>
      <c r="S67" s="471"/>
      <c r="T67" s="471"/>
      <c r="U67" s="471"/>
      <c r="V67" s="227"/>
      <c r="W67" s="227"/>
      <c r="X67" s="227"/>
      <c r="Y67" s="37"/>
      <c r="Z67" s="3"/>
      <c r="AA67" s="4"/>
      <c r="AH67" s="406"/>
      <c r="AI67" s="406"/>
      <c r="AJ67" s="406"/>
      <c r="AK67" s="406"/>
      <c r="AL67" s="406"/>
      <c r="AM67" s="406"/>
      <c r="AN67" s="406"/>
      <c r="AO67" s="406"/>
      <c r="AP67" s="406"/>
      <c r="AQ67" s="406"/>
      <c r="AR67" s="406"/>
      <c r="AS67" s="13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13"/>
      <c r="BQ67" s="29"/>
      <c r="BR67" s="13"/>
      <c r="BS67" s="13"/>
      <c r="BT67" s="13"/>
      <c r="BU67" s="13"/>
      <c r="BV67" s="13"/>
      <c r="BW67" s="25"/>
    </row>
    <row r="68" spans="1:75" ht="7.5" customHeight="1" thickBot="1">
      <c r="A68" s="18"/>
      <c r="B68" s="6"/>
      <c r="C68" s="6"/>
      <c r="D68" s="6"/>
      <c r="E68" s="6"/>
      <c r="F68" s="38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3"/>
      <c r="Z68" s="32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43"/>
      <c r="BC68" s="43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3"/>
      <c r="BR68" s="13"/>
      <c r="BS68" s="13"/>
      <c r="BT68" s="13"/>
      <c r="BU68" s="13"/>
      <c r="BV68" s="13"/>
      <c r="BW68" s="25"/>
    </row>
    <row r="69" spans="1:69" ht="7.5" customHeight="1" thickBot="1">
      <c r="A69" s="34"/>
      <c r="B69" s="12"/>
      <c r="C69" s="12"/>
      <c r="D69" s="12"/>
      <c r="E69" s="12"/>
      <c r="F69" s="27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72"/>
      <c r="AC69" s="74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28"/>
    </row>
    <row r="70" spans="1:69" ht="7.5" customHeight="1">
      <c r="A70" s="19"/>
      <c r="B70" s="198" t="s">
        <v>277</v>
      </c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200"/>
      <c r="AB70" s="55"/>
      <c r="AC70" s="50"/>
      <c r="AD70" s="198" t="s">
        <v>290</v>
      </c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200"/>
      <c r="BD70" s="13"/>
      <c r="BE70" s="288" t="s">
        <v>325</v>
      </c>
      <c r="BF70" s="289"/>
      <c r="BG70" s="289"/>
      <c r="BH70" s="290"/>
      <c r="BI70" s="280" t="s">
        <v>307</v>
      </c>
      <c r="BJ70" s="280"/>
      <c r="BK70" s="280"/>
      <c r="BL70" s="280"/>
      <c r="BM70" s="280"/>
      <c r="BN70" s="280"/>
      <c r="BO70" s="280"/>
      <c r="BP70" s="281"/>
      <c r="BQ70" s="29"/>
    </row>
    <row r="71" spans="1:69" ht="7.5" customHeight="1" thickBot="1">
      <c r="A71" s="19"/>
      <c r="B71" s="201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3"/>
      <c r="AB71" s="55"/>
      <c r="AC71" s="50"/>
      <c r="AD71" s="201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3"/>
      <c r="BD71" s="13"/>
      <c r="BE71" s="291"/>
      <c r="BF71" s="292"/>
      <c r="BG71" s="292"/>
      <c r="BH71" s="293"/>
      <c r="BI71" s="282"/>
      <c r="BJ71" s="282"/>
      <c r="BK71" s="282"/>
      <c r="BL71" s="282"/>
      <c r="BM71" s="282"/>
      <c r="BN71" s="282"/>
      <c r="BO71" s="282"/>
      <c r="BP71" s="283"/>
      <c r="BQ71" s="29"/>
    </row>
    <row r="72" spans="1:69" ht="7.5" customHeight="1" thickBot="1">
      <c r="A72" s="19"/>
      <c r="B72" s="244" t="s">
        <v>292</v>
      </c>
      <c r="C72" s="245"/>
      <c r="D72" s="245"/>
      <c r="E72" s="246"/>
      <c r="F72" s="399"/>
      <c r="G72" s="400"/>
      <c r="H72" s="400"/>
      <c r="I72" s="400"/>
      <c r="J72" s="400"/>
      <c r="K72" s="400"/>
      <c r="L72" s="400"/>
      <c r="M72" s="400"/>
      <c r="N72" s="400"/>
      <c r="O72" s="400"/>
      <c r="P72" s="400"/>
      <c r="Q72" s="401"/>
      <c r="R72" s="212" t="s">
        <v>929</v>
      </c>
      <c r="S72" s="213"/>
      <c r="T72" s="225">
        <f>IF(INDEX(Таблицы!AA20:AA242,Таблицы!Y27,1)="","",INDEX(Таблицы!AA20:AA242,Таблицы!Y27,1))</f>
      </c>
      <c r="U72" s="225"/>
      <c r="V72" s="218" t="s">
        <v>942</v>
      </c>
      <c r="W72" s="219"/>
      <c r="X72" s="219"/>
      <c r="Y72" s="219"/>
      <c r="Z72" s="222" t="s">
        <v>943</v>
      </c>
      <c r="AA72" s="55"/>
      <c r="AB72" s="55"/>
      <c r="AC72" s="50"/>
      <c r="AD72" s="244" t="s">
        <v>292</v>
      </c>
      <c r="AE72" s="245"/>
      <c r="AF72" s="245"/>
      <c r="AG72" s="246"/>
      <c r="AH72" s="399"/>
      <c r="AI72" s="400"/>
      <c r="AJ72" s="400"/>
      <c r="AK72" s="400"/>
      <c r="AL72" s="400"/>
      <c r="AM72" s="400"/>
      <c r="AN72" s="400"/>
      <c r="AO72" s="400"/>
      <c r="AP72" s="400"/>
      <c r="AQ72" s="400"/>
      <c r="AR72" s="400"/>
      <c r="AS72" s="401"/>
      <c r="AT72" s="212" t="s">
        <v>929</v>
      </c>
      <c r="AU72" s="213"/>
      <c r="AV72" s="225">
        <f>IF(INDEX(Таблицы!AA20:AA242,Таблицы!Y28,1)="","",INDEX(Таблицы!AA20:AA242,Таблицы!Y28,1))</f>
      </c>
      <c r="AW72" s="225"/>
      <c r="AX72" s="218" t="s">
        <v>942</v>
      </c>
      <c r="AY72" s="219"/>
      <c r="AZ72" s="219"/>
      <c r="BA72" s="219"/>
      <c r="BB72" s="222" t="s">
        <v>943</v>
      </c>
      <c r="BC72" s="55"/>
      <c r="BD72" s="13"/>
      <c r="BE72" s="294"/>
      <c r="BF72" s="295"/>
      <c r="BG72" s="295"/>
      <c r="BH72" s="296"/>
      <c r="BI72" s="284"/>
      <c r="BJ72" s="284"/>
      <c r="BK72" s="284"/>
      <c r="BL72" s="284"/>
      <c r="BM72" s="284"/>
      <c r="BN72" s="284"/>
      <c r="BO72" s="284"/>
      <c r="BP72" s="285"/>
      <c r="BQ72" s="29"/>
    </row>
    <row r="73" spans="1:69" ht="7.5" customHeight="1">
      <c r="A73" s="19"/>
      <c r="B73" s="244"/>
      <c r="C73" s="245"/>
      <c r="D73" s="245"/>
      <c r="E73" s="246"/>
      <c r="F73" s="396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3"/>
      <c r="R73" s="214"/>
      <c r="S73" s="215"/>
      <c r="T73" s="226"/>
      <c r="U73" s="226"/>
      <c r="V73" s="220"/>
      <c r="W73" s="221"/>
      <c r="X73" s="221"/>
      <c r="Y73" s="221"/>
      <c r="Z73" s="223"/>
      <c r="AA73" s="55"/>
      <c r="AB73" s="55"/>
      <c r="AC73" s="50"/>
      <c r="AD73" s="244"/>
      <c r="AE73" s="245"/>
      <c r="AF73" s="245"/>
      <c r="AG73" s="246"/>
      <c r="AH73" s="396"/>
      <c r="AI73" s="282"/>
      <c r="AJ73" s="282"/>
      <c r="AK73" s="282"/>
      <c r="AL73" s="282"/>
      <c r="AM73" s="282"/>
      <c r="AN73" s="282"/>
      <c r="AO73" s="282"/>
      <c r="AP73" s="282"/>
      <c r="AQ73" s="282"/>
      <c r="AR73" s="282"/>
      <c r="AS73" s="283"/>
      <c r="AT73" s="214"/>
      <c r="AU73" s="215"/>
      <c r="AV73" s="226"/>
      <c r="AW73" s="226"/>
      <c r="AX73" s="220"/>
      <c r="AY73" s="221"/>
      <c r="AZ73" s="221"/>
      <c r="BA73" s="221"/>
      <c r="BB73" s="223"/>
      <c r="BC73" s="55"/>
      <c r="BD73" s="13"/>
      <c r="BE73" s="286" t="s">
        <v>308</v>
      </c>
      <c r="BF73" s="286"/>
      <c r="BG73" s="287">
        <f>IF(INDEX(Таблицы!AA483:AA515,Таблицы!Y485,1)="","",INDEX(Таблицы!AA483:AA515,Таблицы!Y485,1))</f>
      </c>
      <c r="BH73" s="287"/>
      <c r="BI73" s="172" t="s">
        <v>309</v>
      </c>
      <c r="BJ73" s="172"/>
      <c r="BK73" s="228">
        <f>IF(INDEX(Таблицы!AB483:AB515,Таблицы!Y485,1)="","",INDEX(Таблицы!AB483:AB515,Таблицы!Y485,1))</f>
      </c>
      <c r="BL73" s="228"/>
      <c r="BM73" s="172" t="s">
        <v>310</v>
      </c>
      <c r="BN73" s="172"/>
      <c r="BO73" s="228">
        <f>IF(INDEX(Таблицы!AC483:AC515,Таблицы!Y485,1)="","",INDEX(Таблицы!AC483:AC515,Таблицы!Y485,1))</f>
      </c>
      <c r="BP73" s="228"/>
      <c r="BQ73" s="29"/>
    </row>
    <row r="74" spans="1:69" ht="7.5" customHeight="1">
      <c r="A74" s="19"/>
      <c r="B74" s="247"/>
      <c r="C74" s="248"/>
      <c r="D74" s="248"/>
      <c r="E74" s="249"/>
      <c r="F74" s="397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5"/>
      <c r="R74" s="216"/>
      <c r="S74" s="217"/>
      <c r="T74" s="226"/>
      <c r="U74" s="226"/>
      <c r="V74" s="50"/>
      <c r="W74" s="13"/>
      <c r="X74" s="13"/>
      <c r="Y74" s="13"/>
      <c r="Z74" s="13"/>
      <c r="AA74" s="55"/>
      <c r="AB74" s="55"/>
      <c r="AC74" s="50"/>
      <c r="AD74" s="247"/>
      <c r="AE74" s="248"/>
      <c r="AF74" s="248"/>
      <c r="AG74" s="249"/>
      <c r="AH74" s="397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5"/>
      <c r="AT74" s="216"/>
      <c r="AU74" s="217"/>
      <c r="AV74" s="226"/>
      <c r="AW74" s="226"/>
      <c r="AX74" s="50"/>
      <c r="AY74" s="13"/>
      <c r="AZ74" s="13"/>
      <c r="BA74" s="13"/>
      <c r="BB74" s="13"/>
      <c r="BC74" s="55"/>
      <c r="BD74" s="13"/>
      <c r="BE74" s="172"/>
      <c r="BF74" s="172"/>
      <c r="BG74" s="228"/>
      <c r="BH74" s="228"/>
      <c r="BI74" s="172"/>
      <c r="BJ74" s="172"/>
      <c r="BK74" s="228"/>
      <c r="BL74" s="228"/>
      <c r="BM74" s="172"/>
      <c r="BN74" s="172"/>
      <c r="BO74" s="228"/>
      <c r="BP74" s="228"/>
      <c r="BQ74" s="29"/>
    </row>
    <row r="75" spans="1:69" ht="7.5" customHeight="1">
      <c r="A75" s="19"/>
      <c r="B75" s="172" t="s">
        <v>278</v>
      </c>
      <c r="C75" s="170">
        <f>IF(INDEX(Таблицы!AB20:AB242,Таблицы!Y27,1)="","",INDEX(Таблицы!AB20:AB242,Таблицы!Y27,1))</f>
      </c>
      <c r="D75" s="171"/>
      <c r="E75" s="169"/>
      <c r="F75" s="172" t="s">
        <v>279</v>
      </c>
      <c r="G75" s="172"/>
      <c r="H75" s="163">
        <f>IF(INDEX(Таблицы!AC20:AC242,Таблицы!Y27,1)="","",INDEX(Таблицы!AC20:AC242,Таблицы!Y27,1))</f>
      </c>
      <c r="I75" s="164"/>
      <c r="J75" s="164"/>
      <c r="K75" s="164"/>
      <c r="L75" s="164"/>
      <c r="M75" s="164"/>
      <c r="N75" s="164"/>
      <c r="O75" s="165"/>
      <c r="P75" s="172" t="s">
        <v>280</v>
      </c>
      <c r="Q75" s="172"/>
      <c r="R75" s="354">
        <f>IF(INDEX(Таблицы!AD20:AD242,Таблицы!Y27,1)="","",INDEX(Таблицы!AD20:AD242,Таблицы!Y27,1))</f>
      </c>
      <c r="S75" s="355"/>
      <c r="T75" s="355"/>
      <c r="U75" s="356"/>
      <c r="V75" s="50"/>
      <c r="W75" s="13"/>
      <c r="X75" s="13"/>
      <c r="Y75" s="13"/>
      <c r="Z75" s="13"/>
      <c r="AA75" s="55"/>
      <c r="AB75" s="55"/>
      <c r="AC75" s="50"/>
      <c r="AD75" s="172" t="s">
        <v>278</v>
      </c>
      <c r="AE75" s="170">
        <f>IF(INDEX(Таблицы!AB20:AB242,Таблицы!Y28,1)="","",INDEX(Таблицы!AB20:AB242,Таблицы!Y28,1))</f>
      </c>
      <c r="AF75" s="171"/>
      <c r="AG75" s="169"/>
      <c r="AH75" s="172" t="s">
        <v>279</v>
      </c>
      <c r="AI75" s="172"/>
      <c r="AJ75" s="163">
        <f>IF(INDEX(Таблицы!AC20:AC242,Таблицы!Y28,1)="","",INDEX(Таблицы!AC20:AC242,Таблицы!Y28,1))</f>
      </c>
      <c r="AK75" s="164"/>
      <c r="AL75" s="164"/>
      <c r="AM75" s="164"/>
      <c r="AN75" s="164"/>
      <c r="AO75" s="164"/>
      <c r="AP75" s="164"/>
      <c r="AQ75" s="165"/>
      <c r="AR75" s="172" t="s">
        <v>280</v>
      </c>
      <c r="AS75" s="172"/>
      <c r="AT75" s="354">
        <f>IF(INDEX(Таблицы!AD20:AD242,Таблицы!Y28,1)="","",INDEX(Таблицы!AD20:AD242,Таблицы!Y28,1))</f>
      </c>
      <c r="AU75" s="355"/>
      <c r="AV75" s="355"/>
      <c r="AW75" s="356"/>
      <c r="AX75" s="50"/>
      <c r="AY75" s="13"/>
      <c r="AZ75" s="13"/>
      <c r="BA75" s="13"/>
      <c r="BB75" s="13"/>
      <c r="BC75" s="55"/>
      <c r="BD75" s="13"/>
      <c r="BE75" s="172" t="s">
        <v>311</v>
      </c>
      <c r="BF75" s="172"/>
      <c r="BG75" s="228">
        <f>IF(INDEX(Таблицы!AD483:AD515,Таблицы!Y485,1)="","",INDEX(Таблицы!AD483:AD515,Таблицы!Y485,1))</f>
      </c>
      <c r="BH75" s="228"/>
      <c r="BI75" s="172" t="s">
        <v>312</v>
      </c>
      <c r="BJ75" s="172"/>
      <c r="BK75" s="228">
        <f>IF(INDEX(Таблицы!AE483:AE515,Таблицы!Y485,1)="","",INDEX(Таблицы!AE483:AE515,Таблицы!Y485,1))</f>
      </c>
      <c r="BL75" s="228"/>
      <c r="BM75" s="172" t="s">
        <v>313</v>
      </c>
      <c r="BN75" s="172"/>
      <c r="BO75" s="228">
        <f>IF(INDEX(Таблицы!AF483:AF515,Таблицы!Y485,1)="","",INDEX(Таблицы!AF483:AF515,Таблицы!Y485,1))</f>
      </c>
      <c r="BP75" s="228"/>
      <c r="BQ75" s="29"/>
    </row>
    <row r="76" spans="1:69" ht="7.5" customHeight="1">
      <c r="A76" s="19"/>
      <c r="B76" s="172"/>
      <c r="C76" s="168"/>
      <c r="D76" s="166"/>
      <c r="E76" s="167"/>
      <c r="F76" s="172"/>
      <c r="G76" s="172"/>
      <c r="H76" s="162"/>
      <c r="I76" s="196"/>
      <c r="J76" s="196"/>
      <c r="K76" s="196"/>
      <c r="L76" s="196"/>
      <c r="M76" s="196"/>
      <c r="N76" s="196"/>
      <c r="O76" s="197"/>
      <c r="P76" s="172"/>
      <c r="Q76" s="172"/>
      <c r="R76" s="357"/>
      <c r="S76" s="358"/>
      <c r="T76" s="358"/>
      <c r="U76" s="359"/>
      <c r="V76" s="360" t="s">
        <v>100</v>
      </c>
      <c r="W76" s="361"/>
      <c r="X76" s="224">
        <v>1</v>
      </c>
      <c r="Y76" s="224"/>
      <c r="Z76" s="224">
        <v>2</v>
      </c>
      <c r="AA76" s="224"/>
      <c r="AB76" s="55"/>
      <c r="AC76" s="50"/>
      <c r="AD76" s="172"/>
      <c r="AE76" s="168"/>
      <c r="AF76" s="166"/>
      <c r="AG76" s="167"/>
      <c r="AH76" s="172"/>
      <c r="AI76" s="172"/>
      <c r="AJ76" s="162"/>
      <c r="AK76" s="196"/>
      <c r="AL76" s="196"/>
      <c r="AM76" s="196"/>
      <c r="AN76" s="196"/>
      <c r="AO76" s="196"/>
      <c r="AP76" s="196"/>
      <c r="AQ76" s="197"/>
      <c r="AR76" s="172"/>
      <c r="AS76" s="172"/>
      <c r="AT76" s="357"/>
      <c r="AU76" s="358"/>
      <c r="AV76" s="358"/>
      <c r="AW76" s="359"/>
      <c r="AX76" s="360" t="s">
        <v>100</v>
      </c>
      <c r="AY76" s="361"/>
      <c r="AZ76" s="224">
        <v>1</v>
      </c>
      <c r="BA76" s="224"/>
      <c r="BB76" s="224">
        <v>2</v>
      </c>
      <c r="BC76" s="224"/>
      <c r="BD76" s="13"/>
      <c r="BE76" s="172"/>
      <c r="BF76" s="172"/>
      <c r="BG76" s="228"/>
      <c r="BH76" s="228"/>
      <c r="BI76" s="172"/>
      <c r="BJ76" s="172"/>
      <c r="BK76" s="228"/>
      <c r="BL76" s="228"/>
      <c r="BM76" s="172"/>
      <c r="BN76" s="172"/>
      <c r="BO76" s="228"/>
      <c r="BP76" s="228"/>
      <c r="BQ76" s="29"/>
    </row>
    <row r="77" spans="1:69" ht="7.5" customHeight="1">
      <c r="A77" s="19"/>
      <c r="B77" s="172" t="s">
        <v>281</v>
      </c>
      <c r="C77" s="172"/>
      <c r="D77" s="172" t="s">
        <v>282</v>
      </c>
      <c r="E77" s="228">
        <f>IF(INDEX(Таблицы!AE20:AE242,Таблицы!Y27,1)="","",INDEX(Таблицы!AE20:AE242,Таблицы!Y27,1))</f>
      </c>
      <c r="F77" s="228"/>
      <c r="G77" s="172" t="s">
        <v>283</v>
      </c>
      <c r="H77" s="228">
        <f>IF(INDEX(Таблицы!AF20:AF242,Таблицы!Y27,1)="","",INDEX(Таблицы!AF20:AF242,Таблицы!Y27,1))</f>
      </c>
      <c r="I77" s="228"/>
      <c r="J77" s="172" t="s">
        <v>284</v>
      </c>
      <c r="K77" s="228">
        <f>IF(INDEX(Таблицы!AG20:AG242,Таблицы!Y27,1)="","",INDEX(Таблицы!AG20:AG242,Таблицы!Y27,1))</f>
      </c>
      <c r="L77" s="228"/>
      <c r="M77" s="172" t="s">
        <v>99</v>
      </c>
      <c r="N77" s="172"/>
      <c r="O77" s="172"/>
      <c r="P77" s="172"/>
      <c r="Q77" s="172"/>
      <c r="R77" s="172"/>
      <c r="S77" s="172"/>
      <c r="T77" s="228">
        <f>IF(INDEX(Таблицы!AH20:AH242,Таблицы!Y27,1)="","",INDEX(Таблицы!AH20:AH242,Таблицы!Y27,1))</f>
      </c>
      <c r="U77" s="228"/>
      <c r="V77" s="360"/>
      <c r="W77" s="361"/>
      <c r="X77" s="224"/>
      <c r="Y77" s="224"/>
      <c r="Z77" s="224"/>
      <c r="AA77" s="224"/>
      <c r="AB77" s="55"/>
      <c r="AC77" s="50"/>
      <c r="AD77" s="172" t="s">
        <v>281</v>
      </c>
      <c r="AE77" s="172"/>
      <c r="AF77" s="172" t="s">
        <v>282</v>
      </c>
      <c r="AG77" s="228">
        <f>IF(INDEX(Таблицы!AE20:AE242,Таблицы!Y28,1)="","",INDEX(Таблицы!AE20:AE242,Таблицы!Y28,1))</f>
      </c>
      <c r="AH77" s="228"/>
      <c r="AI77" s="172" t="s">
        <v>283</v>
      </c>
      <c r="AJ77" s="228">
        <f>IF(INDEX(Таблицы!AF20:AF242,Таблицы!Y28,1)="","",INDEX(Таблицы!AF20:AF242,Таблицы!Y28,1))</f>
      </c>
      <c r="AK77" s="228"/>
      <c r="AL77" s="172" t="s">
        <v>284</v>
      </c>
      <c r="AM77" s="228">
        <f>IF(INDEX(Таблицы!AG20:AG242,Таблицы!Y28,1)="","",INDEX(Таблицы!AG20:AG242,Таблицы!Y28,1))</f>
      </c>
      <c r="AN77" s="228"/>
      <c r="AO77" s="172" t="s">
        <v>99</v>
      </c>
      <c r="AP77" s="172"/>
      <c r="AQ77" s="172"/>
      <c r="AR77" s="172"/>
      <c r="AS77" s="172"/>
      <c r="AT77" s="172"/>
      <c r="AU77" s="172"/>
      <c r="AV77" s="228">
        <f>IF(INDEX(Таблицы!AH20:AH242,Таблицы!Y28,1)="","",INDEX(Таблицы!AH20:AH242,Таблицы!Y28,1))</f>
      </c>
      <c r="AW77" s="228"/>
      <c r="AX77" s="360"/>
      <c r="AY77" s="361"/>
      <c r="AZ77" s="224"/>
      <c r="BA77" s="224"/>
      <c r="BB77" s="224"/>
      <c r="BC77" s="224"/>
      <c r="BD77" s="13"/>
      <c r="BE77" s="172" t="s">
        <v>314</v>
      </c>
      <c r="BF77" s="172"/>
      <c r="BG77" s="354">
        <f>IF(INDEX(Таблицы!AG483:AG515,Таблицы!Y485,1)="","",INDEX(Таблицы!AG483:AG515,Таблицы!Y485,1))</f>
      </c>
      <c r="BH77" s="355"/>
      <c r="BI77" s="355"/>
      <c r="BJ77" s="356"/>
      <c r="BK77" s="327" t="s">
        <v>323</v>
      </c>
      <c r="BL77" s="328"/>
      <c r="BM77" s="342"/>
      <c r="BN77" s="343"/>
      <c r="BO77" s="338">
        <f>IF(INDEX(Таблицы!AS483:AS515,Таблицы!Y485,1)="","",INDEX(Таблицы!AS483:AS515,Таблицы!Y485,1))</f>
      </c>
      <c r="BP77" s="339"/>
      <c r="BQ77" s="29"/>
    </row>
    <row r="78" spans="1:69" ht="7.5" customHeight="1">
      <c r="A78" s="19"/>
      <c r="B78" s="172"/>
      <c r="C78" s="172"/>
      <c r="D78" s="172"/>
      <c r="E78" s="228"/>
      <c r="F78" s="228"/>
      <c r="G78" s="172"/>
      <c r="H78" s="228"/>
      <c r="I78" s="228"/>
      <c r="J78" s="172"/>
      <c r="K78" s="228"/>
      <c r="L78" s="228"/>
      <c r="M78" s="172"/>
      <c r="N78" s="172"/>
      <c r="O78" s="172"/>
      <c r="P78" s="172"/>
      <c r="Q78" s="172"/>
      <c r="R78" s="172"/>
      <c r="S78" s="172"/>
      <c r="T78" s="228"/>
      <c r="U78" s="228"/>
      <c r="V78" s="360"/>
      <c r="W78" s="361"/>
      <c r="X78" s="224">
        <v>3</v>
      </c>
      <c r="Y78" s="224"/>
      <c r="Z78" s="224">
        <v>4</v>
      </c>
      <c r="AA78" s="224"/>
      <c r="AB78" s="55"/>
      <c r="AC78" s="50"/>
      <c r="AD78" s="172"/>
      <c r="AE78" s="172"/>
      <c r="AF78" s="172"/>
      <c r="AG78" s="228"/>
      <c r="AH78" s="228"/>
      <c r="AI78" s="172"/>
      <c r="AJ78" s="228"/>
      <c r="AK78" s="228"/>
      <c r="AL78" s="172"/>
      <c r="AM78" s="228"/>
      <c r="AN78" s="228"/>
      <c r="AO78" s="172"/>
      <c r="AP78" s="172"/>
      <c r="AQ78" s="172"/>
      <c r="AR78" s="172"/>
      <c r="AS78" s="172"/>
      <c r="AT78" s="172"/>
      <c r="AU78" s="172"/>
      <c r="AV78" s="228"/>
      <c r="AW78" s="228"/>
      <c r="AX78" s="360"/>
      <c r="AY78" s="361"/>
      <c r="AZ78" s="224">
        <v>3</v>
      </c>
      <c r="BA78" s="224"/>
      <c r="BB78" s="224">
        <v>4</v>
      </c>
      <c r="BC78" s="224"/>
      <c r="BD78" s="13"/>
      <c r="BE78" s="172"/>
      <c r="BF78" s="172"/>
      <c r="BG78" s="357"/>
      <c r="BH78" s="358"/>
      <c r="BI78" s="358"/>
      <c r="BJ78" s="359"/>
      <c r="BK78" s="329"/>
      <c r="BL78" s="330"/>
      <c r="BM78" s="344"/>
      <c r="BN78" s="345"/>
      <c r="BO78" s="340"/>
      <c r="BP78" s="341"/>
      <c r="BQ78" s="29"/>
    </row>
    <row r="79" spans="1:69" ht="7.5" customHeight="1">
      <c r="A79" s="19"/>
      <c r="B79" s="241" t="s">
        <v>930</v>
      </c>
      <c r="C79" s="242"/>
      <c r="D79" s="243"/>
      <c r="E79" s="242"/>
      <c r="F79" s="242"/>
      <c r="G79" s="242"/>
      <c r="H79" s="242"/>
      <c r="I79" s="242"/>
      <c r="J79" s="242"/>
      <c r="K79" s="242"/>
      <c r="L79" s="242"/>
      <c r="M79" s="243"/>
      <c r="N79" s="250" t="s">
        <v>298</v>
      </c>
      <c r="O79" s="251"/>
      <c r="P79" s="225">
        <f>IF(INDEX(Таблицы!AB245:AB323,Таблицы!Y251,1)="","",INDEX(Таблицы!AB245:AB323,Таблицы!Y251,1))</f>
      </c>
      <c r="Q79" s="225"/>
      <c r="R79" s="250" t="s">
        <v>831</v>
      </c>
      <c r="S79" s="251"/>
      <c r="T79" s="225">
        <f>IF(INDEX(Таблицы!AC245:AC323,Таблицы!Y251,1)="","",INDEX(Таблицы!AC245:AC323,Таблицы!Y251,1))</f>
      </c>
      <c r="U79" s="225"/>
      <c r="V79" s="360"/>
      <c r="W79" s="361"/>
      <c r="X79" s="224"/>
      <c r="Y79" s="224"/>
      <c r="Z79" s="224"/>
      <c r="AA79" s="224"/>
      <c r="AB79" s="55"/>
      <c r="AC79" s="50"/>
      <c r="AD79" s="241" t="s">
        <v>930</v>
      </c>
      <c r="AE79" s="242"/>
      <c r="AF79" s="243"/>
      <c r="AG79" s="242"/>
      <c r="AH79" s="242"/>
      <c r="AI79" s="242"/>
      <c r="AJ79" s="242"/>
      <c r="AK79" s="242"/>
      <c r="AL79" s="242"/>
      <c r="AM79" s="242"/>
      <c r="AN79" s="242"/>
      <c r="AO79" s="243"/>
      <c r="AP79" s="250" t="s">
        <v>298</v>
      </c>
      <c r="AQ79" s="251"/>
      <c r="AR79" s="225">
        <f>IF(INDEX(Таблицы!AB245:AB323,Таблицы!Y252,1)="","",INDEX(Таблицы!AB245:AB323,Таблицы!Y252,1))</f>
      </c>
      <c r="AS79" s="225"/>
      <c r="AT79" s="250" t="s">
        <v>831</v>
      </c>
      <c r="AU79" s="251"/>
      <c r="AV79" s="225">
        <f>IF(INDEX(Таблицы!AC245:AC323,Таблицы!Y252,1)="","",INDEX(Таблицы!AC245:AC323,Таблицы!Y252,1))</f>
      </c>
      <c r="AW79" s="225"/>
      <c r="AX79" s="360"/>
      <c r="AY79" s="361"/>
      <c r="AZ79" s="224"/>
      <c r="BA79" s="224"/>
      <c r="BB79" s="224"/>
      <c r="BC79" s="224"/>
      <c r="BD79" s="13"/>
      <c r="BE79" s="297" t="s">
        <v>223</v>
      </c>
      <c r="BF79" s="297"/>
      <c r="BG79" s="297"/>
      <c r="BH79" s="172" t="s">
        <v>282</v>
      </c>
      <c r="BI79" s="228">
        <f>IF(INDEX(Таблицы!AN483:AN515,Таблицы!Y485,1)="","",INDEX(Таблицы!AN483:AN515,Таблицы!Y485,1))</f>
      </c>
      <c r="BJ79" s="228"/>
      <c r="BK79" s="172" t="s">
        <v>322</v>
      </c>
      <c r="BL79" s="228">
        <f>IF(INDEX(Таблицы!AO483:AO515,Таблицы!Y482,1)="","",INDEX(Таблицы!AO483:AO515,Таблицы!Y482,1))</f>
      </c>
      <c r="BM79" s="228"/>
      <c r="BN79" s="172" t="s">
        <v>284</v>
      </c>
      <c r="BO79" s="228">
        <f>IF(INDEX(Таблицы!AP483:AP515,Таблицы!Y485,1)="","",INDEX(Таблицы!AP483:AP515,Таблицы!Y485,1))</f>
      </c>
      <c r="BP79" s="228"/>
      <c r="BQ79" s="29"/>
    </row>
    <row r="80" spans="1:69" ht="7.5" customHeight="1">
      <c r="A80" s="19"/>
      <c r="B80" s="244"/>
      <c r="C80" s="245"/>
      <c r="D80" s="246"/>
      <c r="E80" s="245"/>
      <c r="F80" s="245"/>
      <c r="G80" s="245"/>
      <c r="H80" s="245"/>
      <c r="I80" s="245"/>
      <c r="J80" s="245"/>
      <c r="K80" s="245"/>
      <c r="L80" s="245"/>
      <c r="M80" s="246"/>
      <c r="N80" s="214"/>
      <c r="O80" s="252"/>
      <c r="P80" s="226"/>
      <c r="Q80" s="226"/>
      <c r="R80" s="214"/>
      <c r="S80" s="252"/>
      <c r="T80" s="226"/>
      <c r="U80" s="226"/>
      <c r="V80" s="360"/>
      <c r="W80" s="361"/>
      <c r="X80" s="224">
        <v>5</v>
      </c>
      <c r="Y80" s="224"/>
      <c r="Z80" s="224">
        <v>6</v>
      </c>
      <c r="AA80" s="224"/>
      <c r="AB80" s="55"/>
      <c r="AC80" s="50"/>
      <c r="AD80" s="244"/>
      <c r="AE80" s="245"/>
      <c r="AF80" s="246"/>
      <c r="AG80" s="245"/>
      <c r="AH80" s="245"/>
      <c r="AI80" s="245"/>
      <c r="AJ80" s="245"/>
      <c r="AK80" s="245"/>
      <c r="AL80" s="245"/>
      <c r="AM80" s="245"/>
      <c r="AN80" s="245"/>
      <c r="AO80" s="246"/>
      <c r="AP80" s="214"/>
      <c r="AQ80" s="252"/>
      <c r="AR80" s="226"/>
      <c r="AS80" s="226"/>
      <c r="AT80" s="214"/>
      <c r="AU80" s="252"/>
      <c r="AV80" s="226"/>
      <c r="AW80" s="226"/>
      <c r="AX80" s="360"/>
      <c r="AY80" s="361"/>
      <c r="AZ80" s="224">
        <v>5</v>
      </c>
      <c r="BA80" s="224"/>
      <c r="BB80" s="224">
        <v>6</v>
      </c>
      <c r="BC80" s="224"/>
      <c r="BD80" s="13"/>
      <c r="BE80" s="297"/>
      <c r="BF80" s="297"/>
      <c r="BG80" s="297"/>
      <c r="BH80" s="172"/>
      <c r="BI80" s="228"/>
      <c r="BJ80" s="228"/>
      <c r="BK80" s="172"/>
      <c r="BL80" s="228"/>
      <c r="BM80" s="228"/>
      <c r="BN80" s="172"/>
      <c r="BO80" s="228"/>
      <c r="BP80" s="228"/>
      <c r="BQ80" s="29"/>
    </row>
    <row r="81" spans="1:69" ht="7.5" customHeight="1">
      <c r="A81" s="19"/>
      <c r="B81" s="247"/>
      <c r="C81" s="248"/>
      <c r="D81" s="249"/>
      <c r="E81" s="248"/>
      <c r="F81" s="248"/>
      <c r="G81" s="248"/>
      <c r="H81" s="248"/>
      <c r="I81" s="248"/>
      <c r="J81" s="248"/>
      <c r="K81" s="248"/>
      <c r="L81" s="248"/>
      <c r="M81" s="249"/>
      <c r="N81" s="216"/>
      <c r="O81" s="253"/>
      <c r="P81" s="226"/>
      <c r="Q81" s="226"/>
      <c r="R81" s="216"/>
      <c r="S81" s="253"/>
      <c r="T81" s="226"/>
      <c r="U81" s="226"/>
      <c r="V81" s="360"/>
      <c r="W81" s="361"/>
      <c r="X81" s="224"/>
      <c r="Y81" s="224"/>
      <c r="Z81" s="224"/>
      <c r="AA81" s="224"/>
      <c r="AB81" s="55"/>
      <c r="AC81" s="50"/>
      <c r="AD81" s="247"/>
      <c r="AE81" s="248"/>
      <c r="AF81" s="249"/>
      <c r="AG81" s="248"/>
      <c r="AH81" s="248"/>
      <c r="AI81" s="248"/>
      <c r="AJ81" s="248"/>
      <c r="AK81" s="248"/>
      <c r="AL81" s="248"/>
      <c r="AM81" s="248"/>
      <c r="AN81" s="248"/>
      <c r="AO81" s="249"/>
      <c r="AP81" s="216"/>
      <c r="AQ81" s="253"/>
      <c r="AR81" s="226"/>
      <c r="AS81" s="226"/>
      <c r="AT81" s="216"/>
      <c r="AU81" s="253"/>
      <c r="AV81" s="226"/>
      <c r="AW81" s="226"/>
      <c r="AX81" s="360"/>
      <c r="AY81" s="361"/>
      <c r="AZ81" s="224"/>
      <c r="BA81" s="224"/>
      <c r="BB81" s="224"/>
      <c r="BC81" s="224"/>
      <c r="BD81" s="13"/>
      <c r="BE81" s="297"/>
      <c r="BF81" s="297"/>
      <c r="BG81" s="297"/>
      <c r="BH81" s="172" t="s">
        <v>283</v>
      </c>
      <c r="BI81" s="228">
        <f>IF(INDEX(Таблицы!AQ483:AQ515,Таблицы!Y485,1)="","",INDEX(Таблицы!AQ483:AQ515,Таблицы!Y485,1))</f>
      </c>
      <c r="BJ81" s="228"/>
      <c r="BK81" s="172" t="s">
        <v>278</v>
      </c>
      <c r="BL81" s="255">
        <f>IF(INDEX(Таблицы!AR483:AR515,Таблицы!Y485,1)="","",INDEX(Таблицы!AR483:AR515,Таблицы!Y485,1))</f>
      </c>
      <c r="BM81" s="256"/>
      <c r="BN81" s="256"/>
      <c r="BO81" s="256"/>
      <c r="BP81" s="257"/>
      <c r="BQ81" s="29"/>
    </row>
    <row r="82" spans="1:69" ht="7.5" customHeight="1">
      <c r="A82" s="19"/>
      <c r="B82" s="172" t="s">
        <v>279</v>
      </c>
      <c r="C82" s="172"/>
      <c r="D82" s="229">
        <f>IF(INDEX(Таблицы!AE245:AE323,Таблицы!Y251,1)="","",INDEX(Таблицы!AE245:AE323,Таблицы!Y251,1))</f>
      </c>
      <c r="E82" s="230"/>
      <c r="F82" s="230"/>
      <c r="G82" s="230"/>
      <c r="H82" s="231"/>
      <c r="I82" s="235" t="s">
        <v>832</v>
      </c>
      <c r="J82" s="236"/>
      <c r="K82" s="237"/>
      <c r="L82" s="229">
        <f>IF(INDEX(Таблицы!AF245:AF323,Таблицы!Y251,1)="","",INDEX(Таблицы!AF245:AF323,Таблицы!Y251,1))</f>
      </c>
      <c r="M82" s="230"/>
      <c r="N82" s="230"/>
      <c r="O82" s="230"/>
      <c r="P82" s="230"/>
      <c r="Q82" s="230"/>
      <c r="R82" s="230"/>
      <c r="S82" s="230"/>
      <c r="T82" s="230"/>
      <c r="U82" s="231"/>
      <c r="V82" s="360"/>
      <c r="W82" s="361"/>
      <c r="X82" s="224">
        <v>7</v>
      </c>
      <c r="Y82" s="224"/>
      <c r="Z82" s="224">
        <v>8</v>
      </c>
      <c r="AA82" s="224"/>
      <c r="AB82" s="55"/>
      <c r="AC82" s="50"/>
      <c r="AD82" s="172" t="s">
        <v>279</v>
      </c>
      <c r="AE82" s="172"/>
      <c r="AF82" s="229">
        <f>IF(INDEX(Таблицы!AE245:AE323,Таблицы!Y252,1)="","",INDEX(Таблицы!AE245:AE323,Таблицы!Y252,1))</f>
      </c>
      <c r="AG82" s="230"/>
      <c r="AH82" s="230"/>
      <c r="AI82" s="230"/>
      <c r="AJ82" s="231"/>
      <c r="AK82" s="235" t="s">
        <v>832</v>
      </c>
      <c r="AL82" s="236"/>
      <c r="AM82" s="237"/>
      <c r="AN82" s="229">
        <f>IF(INDEX(Таблицы!AF245:AF323,Таблицы!Y252,1)="","",INDEX(Таблицы!AF245:AF323,Таблицы!Y252,1))</f>
      </c>
      <c r="AO82" s="230"/>
      <c r="AP82" s="230"/>
      <c r="AQ82" s="230"/>
      <c r="AR82" s="230"/>
      <c r="AS82" s="230"/>
      <c r="AT82" s="230"/>
      <c r="AU82" s="230"/>
      <c r="AV82" s="230"/>
      <c r="AW82" s="231"/>
      <c r="AX82" s="360"/>
      <c r="AY82" s="361"/>
      <c r="AZ82" s="224">
        <v>7</v>
      </c>
      <c r="BA82" s="224"/>
      <c r="BB82" s="224">
        <v>8</v>
      </c>
      <c r="BC82" s="224"/>
      <c r="BD82" s="13"/>
      <c r="BE82" s="297"/>
      <c r="BF82" s="297"/>
      <c r="BG82" s="297"/>
      <c r="BH82" s="172"/>
      <c r="BI82" s="228"/>
      <c r="BJ82" s="228"/>
      <c r="BK82" s="172"/>
      <c r="BL82" s="258"/>
      <c r="BM82" s="259"/>
      <c r="BN82" s="259"/>
      <c r="BO82" s="259"/>
      <c r="BP82" s="260"/>
      <c r="BQ82" s="29"/>
    </row>
    <row r="83" spans="1:69" ht="7.5" customHeight="1">
      <c r="A83" s="19"/>
      <c r="B83" s="172"/>
      <c r="C83" s="172"/>
      <c r="D83" s="232"/>
      <c r="E83" s="233"/>
      <c r="F83" s="233"/>
      <c r="G83" s="233"/>
      <c r="H83" s="234"/>
      <c r="I83" s="238"/>
      <c r="J83" s="239"/>
      <c r="K83" s="240"/>
      <c r="L83" s="232"/>
      <c r="M83" s="233"/>
      <c r="N83" s="233"/>
      <c r="O83" s="233"/>
      <c r="P83" s="233"/>
      <c r="Q83" s="233"/>
      <c r="R83" s="233"/>
      <c r="S83" s="233"/>
      <c r="T83" s="233"/>
      <c r="U83" s="234"/>
      <c r="V83" s="360"/>
      <c r="W83" s="361"/>
      <c r="X83" s="224"/>
      <c r="Y83" s="224"/>
      <c r="Z83" s="224"/>
      <c r="AA83" s="224"/>
      <c r="AB83" s="55"/>
      <c r="AC83" s="50"/>
      <c r="AD83" s="172"/>
      <c r="AE83" s="172"/>
      <c r="AF83" s="232"/>
      <c r="AG83" s="233"/>
      <c r="AH83" s="233"/>
      <c r="AI83" s="233"/>
      <c r="AJ83" s="234"/>
      <c r="AK83" s="238"/>
      <c r="AL83" s="239"/>
      <c r="AM83" s="240"/>
      <c r="AN83" s="232"/>
      <c r="AO83" s="233"/>
      <c r="AP83" s="233"/>
      <c r="AQ83" s="233"/>
      <c r="AR83" s="233"/>
      <c r="AS83" s="233"/>
      <c r="AT83" s="233"/>
      <c r="AU83" s="233"/>
      <c r="AV83" s="233"/>
      <c r="AW83" s="234"/>
      <c r="AX83" s="360"/>
      <c r="AY83" s="361"/>
      <c r="AZ83" s="224"/>
      <c r="BA83" s="224"/>
      <c r="BB83" s="224"/>
      <c r="BC83" s="224"/>
      <c r="BD83" s="13"/>
      <c r="BE83" s="297" t="s">
        <v>320</v>
      </c>
      <c r="BF83" s="297"/>
      <c r="BG83" s="297"/>
      <c r="BH83" s="172" t="s">
        <v>315</v>
      </c>
      <c r="BI83" s="228">
        <f>IF(INDEX(Таблицы!AH483:AH515,Таблицы!Y485,1)="","",INDEX(Таблицы!AH483:AH515,Таблицы!Y485,1))</f>
      </c>
      <c r="BJ83" s="228"/>
      <c r="BK83" s="172" t="s">
        <v>316</v>
      </c>
      <c r="BL83" s="228">
        <f>IF(INDEX(Таблицы!AI483:AI515,Таблицы!Y485,1)="","",INDEX(Таблицы!AI483:AI515,Таблицы!Y485,1))</f>
      </c>
      <c r="BM83" s="228"/>
      <c r="BN83" s="172" t="s">
        <v>317</v>
      </c>
      <c r="BO83" s="228">
        <f>IF(INDEX(Таблицы!AJ483:AJ515,Таблицы!Y485,1)="","",INDEX(Таблицы!AJ483:AJ515,Таблицы!Y485,1))</f>
      </c>
      <c r="BP83" s="228"/>
      <c r="BQ83" s="29"/>
    </row>
    <row r="84" spans="1:69" ht="7.5" customHeight="1">
      <c r="A84" s="19"/>
      <c r="B84" s="398" t="s">
        <v>288</v>
      </c>
      <c r="C84" s="398"/>
      <c r="D84" s="398"/>
      <c r="E84" s="398"/>
      <c r="F84" s="398"/>
      <c r="G84" s="398"/>
      <c r="H84" s="398"/>
      <c r="I84" s="398"/>
      <c r="J84" s="227"/>
      <c r="K84" s="227"/>
      <c r="L84" s="172" t="s">
        <v>286</v>
      </c>
      <c r="M84" s="172"/>
      <c r="N84" s="172"/>
      <c r="O84" s="228">
        <f>IF(INDEX(Таблицы!AI20:AI242,Таблицы!Y27,1)="","",INDEX(Таблицы!AI20:AI242,Таблицы!Y27,1))</f>
      </c>
      <c r="P84" s="228"/>
      <c r="Q84" s="172" t="s">
        <v>287</v>
      </c>
      <c r="R84" s="172"/>
      <c r="S84" s="172"/>
      <c r="T84" s="227"/>
      <c r="U84" s="227"/>
      <c r="V84" s="360"/>
      <c r="W84" s="361"/>
      <c r="X84" s="224">
        <v>9</v>
      </c>
      <c r="Y84" s="224"/>
      <c r="Z84" s="224">
        <v>10</v>
      </c>
      <c r="AA84" s="224"/>
      <c r="AB84" s="55"/>
      <c r="AC84" s="50"/>
      <c r="AD84" s="398" t="s">
        <v>288</v>
      </c>
      <c r="AE84" s="398"/>
      <c r="AF84" s="398"/>
      <c r="AG84" s="398"/>
      <c r="AH84" s="398"/>
      <c r="AI84" s="398"/>
      <c r="AJ84" s="398"/>
      <c r="AK84" s="398"/>
      <c r="AL84" s="227"/>
      <c r="AM84" s="227"/>
      <c r="AN84" s="172" t="s">
        <v>286</v>
      </c>
      <c r="AO84" s="172"/>
      <c r="AP84" s="172"/>
      <c r="AQ84" s="228">
        <f>IF(INDEX(Таблицы!AI20:AI242,Таблицы!Y28,1)="","",INDEX(Таблицы!AI20:AI242,Таблицы!Y28,1))</f>
      </c>
      <c r="AR84" s="228"/>
      <c r="AS84" s="172" t="s">
        <v>287</v>
      </c>
      <c r="AT84" s="172"/>
      <c r="AU84" s="172"/>
      <c r="AV84" s="227"/>
      <c r="AW84" s="227"/>
      <c r="AX84" s="360"/>
      <c r="AY84" s="361"/>
      <c r="AZ84" s="224">
        <v>9</v>
      </c>
      <c r="BA84" s="224"/>
      <c r="BB84" s="224">
        <v>10</v>
      </c>
      <c r="BC84" s="224"/>
      <c r="BD84" s="13"/>
      <c r="BE84" s="297"/>
      <c r="BF84" s="297"/>
      <c r="BG84" s="297"/>
      <c r="BH84" s="172"/>
      <c r="BI84" s="228"/>
      <c r="BJ84" s="228"/>
      <c r="BK84" s="172"/>
      <c r="BL84" s="228"/>
      <c r="BM84" s="228"/>
      <c r="BN84" s="172"/>
      <c r="BO84" s="228"/>
      <c r="BP84" s="228"/>
      <c r="BQ84" s="29"/>
    </row>
    <row r="85" spans="1:69" ht="7.5" customHeight="1">
      <c r="A85" s="19"/>
      <c r="B85" s="398"/>
      <c r="C85" s="398"/>
      <c r="D85" s="398"/>
      <c r="E85" s="398"/>
      <c r="F85" s="398"/>
      <c r="G85" s="398"/>
      <c r="H85" s="398"/>
      <c r="I85" s="398"/>
      <c r="J85" s="227"/>
      <c r="K85" s="227"/>
      <c r="L85" s="172"/>
      <c r="M85" s="172"/>
      <c r="N85" s="172"/>
      <c r="O85" s="228"/>
      <c r="P85" s="228"/>
      <c r="Q85" s="172"/>
      <c r="R85" s="172"/>
      <c r="S85" s="172"/>
      <c r="T85" s="227"/>
      <c r="U85" s="227"/>
      <c r="V85" s="362"/>
      <c r="W85" s="363"/>
      <c r="X85" s="224"/>
      <c r="Y85" s="224"/>
      <c r="Z85" s="224"/>
      <c r="AA85" s="224"/>
      <c r="AB85" s="55"/>
      <c r="AC85" s="50"/>
      <c r="AD85" s="398"/>
      <c r="AE85" s="398"/>
      <c r="AF85" s="398"/>
      <c r="AG85" s="398"/>
      <c r="AH85" s="398"/>
      <c r="AI85" s="398"/>
      <c r="AJ85" s="398"/>
      <c r="AK85" s="398"/>
      <c r="AL85" s="227"/>
      <c r="AM85" s="227"/>
      <c r="AN85" s="172"/>
      <c r="AO85" s="172"/>
      <c r="AP85" s="172"/>
      <c r="AQ85" s="228"/>
      <c r="AR85" s="228"/>
      <c r="AS85" s="172"/>
      <c r="AT85" s="172"/>
      <c r="AU85" s="172"/>
      <c r="AV85" s="227"/>
      <c r="AW85" s="227"/>
      <c r="AX85" s="362"/>
      <c r="AY85" s="363"/>
      <c r="AZ85" s="224"/>
      <c r="BA85" s="224"/>
      <c r="BB85" s="224"/>
      <c r="BC85" s="224"/>
      <c r="BD85" s="13"/>
      <c r="BE85" s="297"/>
      <c r="BF85" s="297"/>
      <c r="BG85" s="297"/>
      <c r="BH85" s="172" t="s">
        <v>318</v>
      </c>
      <c r="BI85" s="228">
        <f>IF(INDEX(Таблицы!AK483:AK515,Таблицы!Y485,1)="","",INDEX(Таблицы!AK483:AK515,Таблицы!Y485,1))</f>
      </c>
      <c r="BJ85" s="228"/>
      <c r="BK85" s="172" t="s">
        <v>319</v>
      </c>
      <c r="BL85" s="172"/>
      <c r="BM85" s="204">
        <f>IF(INDEX(Таблицы!AL483:AL515,Таблицы!Y485,1)="","",INDEX(Таблицы!AL483:AL515,Таблицы!Y485,1))</f>
      </c>
      <c r="BN85" s="206"/>
      <c r="BO85" s="204" t="s">
        <v>875</v>
      </c>
      <c r="BP85" s="206">
        <f>IF(INDEX(Таблицы!AM483:AM515,Таблицы!Y485,1)="","",INDEX(Таблицы!AM483:AM515,Таблицы!Y485,1))</f>
      </c>
      <c r="BQ85" s="29"/>
    </row>
    <row r="86" spans="1:69" ht="7.5" customHeight="1">
      <c r="A86" s="65"/>
      <c r="B86" s="71"/>
      <c r="C86" s="71"/>
      <c r="D86" s="71"/>
      <c r="E86" s="71"/>
      <c r="F86" s="71"/>
      <c r="G86" s="71"/>
      <c r="H86" s="71"/>
      <c r="I86" s="71"/>
      <c r="J86" s="63"/>
      <c r="K86" s="63"/>
      <c r="L86" s="64"/>
      <c r="M86" s="64"/>
      <c r="N86" s="64"/>
      <c r="O86" s="63"/>
      <c r="P86" s="63"/>
      <c r="Q86" s="64"/>
      <c r="R86" s="64"/>
      <c r="S86" s="64"/>
      <c r="T86" s="63"/>
      <c r="U86" s="63"/>
      <c r="V86" s="46"/>
      <c r="W86" s="46"/>
      <c r="X86" s="71"/>
      <c r="Y86" s="71"/>
      <c r="Z86" s="71"/>
      <c r="AA86" s="71"/>
      <c r="AB86" s="73"/>
      <c r="AC86" s="75"/>
      <c r="AD86" s="71"/>
      <c r="AE86" s="71"/>
      <c r="AF86" s="63"/>
      <c r="AG86" s="63"/>
      <c r="AH86" s="64"/>
      <c r="AI86" s="64"/>
      <c r="AJ86" s="64"/>
      <c r="AK86" s="63"/>
      <c r="AL86" s="63"/>
      <c r="AM86" s="64"/>
      <c r="AN86" s="64"/>
      <c r="AO86" s="64"/>
      <c r="AP86" s="63"/>
      <c r="AQ86" s="63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297"/>
      <c r="BF86" s="297"/>
      <c r="BG86" s="297"/>
      <c r="BH86" s="172"/>
      <c r="BI86" s="228"/>
      <c r="BJ86" s="228"/>
      <c r="BK86" s="172"/>
      <c r="BL86" s="172"/>
      <c r="BM86" s="205"/>
      <c r="BN86" s="207"/>
      <c r="BO86" s="205"/>
      <c r="BP86" s="207"/>
      <c r="BQ86" s="29"/>
    </row>
    <row r="87" spans="1:69" ht="7.5" customHeight="1" thickBot="1">
      <c r="A87" s="19"/>
      <c r="B87" s="52"/>
      <c r="C87" s="52"/>
      <c r="D87" s="52"/>
      <c r="E87" s="52"/>
      <c r="F87" s="52"/>
      <c r="G87" s="52"/>
      <c r="H87" s="52"/>
      <c r="I87" s="52"/>
      <c r="J87" s="4"/>
      <c r="K87" s="4"/>
      <c r="L87" s="48"/>
      <c r="M87" s="48"/>
      <c r="N87" s="48"/>
      <c r="O87" s="4"/>
      <c r="P87" s="4"/>
      <c r="Q87" s="48"/>
      <c r="R87" s="48"/>
      <c r="S87" s="48"/>
      <c r="T87" s="4"/>
      <c r="U87" s="4"/>
      <c r="V87" s="13"/>
      <c r="W87" s="13"/>
      <c r="X87" s="52"/>
      <c r="Y87" s="52"/>
      <c r="Z87" s="52"/>
      <c r="AA87" s="52"/>
      <c r="AB87" s="52"/>
      <c r="AC87" s="52"/>
      <c r="AD87" s="52"/>
      <c r="AE87" s="52"/>
      <c r="AF87" s="4"/>
      <c r="AG87" s="4"/>
      <c r="AH87" s="48"/>
      <c r="AI87" s="48"/>
      <c r="AJ87" s="48"/>
      <c r="AK87" s="4"/>
      <c r="AL87" s="4"/>
      <c r="AM87" s="48"/>
      <c r="AN87" s="48"/>
      <c r="AO87" s="48"/>
      <c r="AP87" s="4"/>
      <c r="AQ87" s="4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297" t="s">
        <v>876</v>
      </c>
      <c r="BF87" s="297"/>
      <c r="BG87" s="297"/>
      <c r="BH87" s="172" t="s">
        <v>315</v>
      </c>
      <c r="BI87" s="227"/>
      <c r="BJ87" s="227"/>
      <c r="BK87" s="172" t="s">
        <v>316</v>
      </c>
      <c r="BL87" s="227"/>
      <c r="BM87" s="227"/>
      <c r="BN87" s="172" t="s">
        <v>317</v>
      </c>
      <c r="BO87" s="254"/>
      <c r="BP87" s="254"/>
      <c r="BQ87" s="29"/>
    </row>
    <row r="88" spans="1:69" ht="7.5" customHeight="1">
      <c r="A88" s="19"/>
      <c r="B88" s="370" t="s">
        <v>101</v>
      </c>
      <c r="C88" s="371"/>
      <c r="D88" s="371"/>
      <c r="E88" s="371"/>
      <c r="F88" s="371"/>
      <c r="G88" s="371"/>
      <c r="H88" s="371"/>
      <c r="I88" s="371"/>
      <c r="J88" s="371"/>
      <c r="K88" s="371"/>
      <c r="L88" s="371"/>
      <c r="M88" s="371"/>
      <c r="N88" s="371"/>
      <c r="O88" s="371"/>
      <c r="P88" s="371"/>
      <c r="Q88" s="371"/>
      <c r="R88" s="371"/>
      <c r="S88" s="371"/>
      <c r="T88" s="371"/>
      <c r="U88" s="371"/>
      <c r="V88" s="371"/>
      <c r="W88" s="371"/>
      <c r="X88" s="371"/>
      <c r="Y88" s="371"/>
      <c r="Z88" s="371"/>
      <c r="AA88" s="371"/>
      <c r="AB88" s="371"/>
      <c r="AC88" s="371"/>
      <c r="AD88" s="371"/>
      <c r="AE88" s="371"/>
      <c r="AF88" s="371"/>
      <c r="AG88" s="371"/>
      <c r="AH88" s="371"/>
      <c r="AI88" s="371"/>
      <c r="AJ88" s="371"/>
      <c r="AK88" s="371"/>
      <c r="AL88" s="371"/>
      <c r="AM88" s="371"/>
      <c r="AN88" s="371"/>
      <c r="AO88" s="371"/>
      <c r="AP88" s="371"/>
      <c r="AQ88" s="371"/>
      <c r="AR88" s="371"/>
      <c r="AS88" s="371"/>
      <c r="AT88" s="371"/>
      <c r="AU88" s="371"/>
      <c r="AV88" s="371"/>
      <c r="AW88" s="371"/>
      <c r="AX88" s="371"/>
      <c r="AY88" s="371"/>
      <c r="AZ88" s="371"/>
      <c r="BA88" s="371"/>
      <c r="BB88" s="371"/>
      <c r="BC88" s="372"/>
      <c r="BD88" s="13"/>
      <c r="BE88" s="297"/>
      <c r="BF88" s="297"/>
      <c r="BG88" s="297"/>
      <c r="BH88" s="172"/>
      <c r="BI88" s="227"/>
      <c r="BJ88" s="227"/>
      <c r="BK88" s="172"/>
      <c r="BL88" s="227"/>
      <c r="BM88" s="227"/>
      <c r="BN88" s="172"/>
      <c r="BO88" s="227"/>
      <c r="BP88" s="227"/>
      <c r="BQ88" s="29"/>
    </row>
    <row r="89" spans="1:69" ht="7.5" customHeight="1" thickBot="1">
      <c r="A89" s="19"/>
      <c r="B89" s="373"/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/>
      <c r="R89" s="374"/>
      <c r="S89" s="374"/>
      <c r="T89" s="374"/>
      <c r="U89" s="374"/>
      <c r="V89" s="374"/>
      <c r="W89" s="374"/>
      <c r="X89" s="374"/>
      <c r="Y89" s="374"/>
      <c r="Z89" s="374"/>
      <c r="AA89" s="374"/>
      <c r="AB89" s="374"/>
      <c r="AC89" s="374"/>
      <c r="AD89" s="374"/>
      <c r="AE89" s="374"/>
      <c r="AF89" s="374"/>
      <c r="AG89" s="374"/>
      <c r="AH89" s="374"/>
      <c r="AI89" s="374"/>
      <c r="AJ89" s="374"/>
      <c r="AK89" s="374"/>
      <c r="AL89" s="374"/>
      <c r="AM89" s="374"/>
      <c r="AN89" s="374"/>
      <c r="AO89" s="374"/>
      <c r="AP89" s="374"/>
      <c r="AQ89" s="374"/>
      <c r="AR89" s="374"/>
      <c r="AS89" s="374"/>
      <c r="AT89" s="374"/>
      <c r="AU89" s="374"/>
      <c r="AV89" s="374"/>
      <c r="AW89" s="374"/>
      <c r="AX89" s="374"/>
      <c r="AY89" s="374"/>
      <c r="AZ89" s="374"/>
      <c r="BA89" s="374"/>
      <c r="BB89" s="374"/>
      <c r="BC89" s="375"/>
      <c r="BD89" s="13"/>
      <c r="BE89" s="297"/>
      <c r="BF89" s="297"/>
      <c r="BG89" s="297"/>
      <c r="BH89" s="172" t="s">
        <v>318</v>
      </c>
      <c r="BI89" s="227"/>
      <c r="BJ89" s="227"/>
      <c r="BK89" s="172" t="s">
        <v>319</v>
      </c>
      <c r="BL89" s="172"/>
      <c r="BM89" s="208"/>
      <c r="BN89" s="209"/>
      <c r="BO89" s="204" t="s">
        <v>875</v>
      </c>
      <c r="BP89" s="209"/>
      <c r="BQ89" s="29"/>
    </row>
    <row r="90" spans="1:69" ht="7.5" customHeight="1">
      <c r="A90" s="19"/>
      <c r="B90" s="376" t="s">
        <v>269</v>
      </c>
      <c r="C90" s="376"/>
      <c r="D90" s="376"/>
      <c r="E90" s="376"/>
      <c r="F90" s="376"/>
      <c r="G90" s="376"/>
      <c r="H90" s="376"/>
      <c r="I90" s="376"/>
      <c r="J90" s="57"/>
      <c r="K90" s="376" t="s">
        <v>296</v>
      </c>
      <c r="L90" s="376"/>
      <c r="M90" s="376"/>
      <c r="N90" s="376"/>
      <c r="O90" s="376"/>
      <c r="P90" s="376"/>
      <c r="Q90" s="282" t="s">
        <v>291</v>
      </c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  <c r="AC90" s="282"/>
      <c r="AD90" s="282"/>
      <c r="AE90" s="282"/>
      <c r="AF90" s="282"/>
      <c r="AG90" s="282"/>
      <c r="AH90" s="282"/>
      <c r="AI90" s="282"/>
      <c r="AJ90" s="282"/>
      <c r="AK90" s="283"/>
      <c r="AL90" s="13"/>
      <c r="AM90" s="376" t="s">
        <v>297</v>
      </c>
      <c r="AN90" s="376"/>
      <c r="AO90" s="376"/>
      <c r="AP90" s="396"/>
      <c r="AQ90" s="282"/>
      <c r="AR90" s="282"/>
      <c r="AS90" s="282"/>
      <c r="AT90" s="282"/>
      <c r="AU90" s="282"/>
      <c r="AV90" s="282"/>
      <c r="AW90" s="282"/>
      <c r="AX90" s="282"/>
      <c r="AY90" s="282"/>
      <c r="AZ90" s="282"/>
      <c r="BA90" s="282"/>
      <c r="BB90" s="282"/>
      <c r="BC90" s="283"/>
      <c r="BD90" s="13"/>
      <c r="BE90" s="297"/>
      <c r="BF90" s="297"/>
      <c r="BG90" s="297"/>
      <c r="BH90" s="172"/>
      <c r="BI90" s="227"/>
      <c r="BJ90" s="227"/>
      <c r="BK90" s="172"/>
      <c r="BL90" s="172"/>
      <c r="BM90" s="210"/>
      <c r="BN90" s="211"/>
      <c r="BO90" s="205"/>
      <c r="BP90" s="211"/>
      <c r="BQ90" s="29"/>
    </row>
    <row r="91" spans="1:69" ht="7.5" customHeight="1">
      <c r="A91" s="19"/>
      <c r="B91" s="377"/>
      <c r="C91" s="377"/>
      <c r="D91" s="377"/>
      <c r="E91" s="377"/>
      <c r="F91" s="377"/>
      <c r="G91" s="377"/>
      <c r="H91" s="377"/>
      <c r="I91" s="377"/>
      <c r="J91" s="57"/>
      <c r="K91" s="377"/>
      <c r="L91" s="377"/>
      <c r="M91" s="377"/>
      <c r="N91" s="377"/>
      <c r="O91" s="377"/>
      <c r="P91" s="377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83"/>
      <c r="AL91" s="51"/>
      <c r="AM91" s="377"/>
      <c r="AN91" s="377"/>
      <c r="AO91" s="377"/>
      <c r="AP91" s="396"/>
      <c r="AQ91" s="282"/>
      <c r="AR91" s="282"/>
      <c r="AS91" s="282"/>
      <c r="AT91" s="282"/>
      <c r="AU91" s="282"/>
      <c r="AV91" s="282"/>
      <c r="AW91" s="282"/>
      <c r="AX91" s="282"/>
      <c r="AY91" s="282"/>
      <c r="AZ91" s="282"/>
      <c r="BA91" s="282"/>
      <c r="BB91" s="282"/>
      <c r="BC91" s="283"/>
      <c r="BD91" s="13"/>
      <c r="BE91" s="297" t="s">
        <v>321</v>
      </c>
      <c r="BF91" s="297"/>
      <c r="BG91" s="297"/>
      <c r="BH91" s="172" t="s">
        <v>315</v>
      </c>
      <c r="BI91" s="228">
        <f>IF(BI83="","",BI83+BI87)</f>
      </c>
      <c r="BJ91" s="228"/>
      <c r="BK91" s="172" t="s">
        <v>316</v>
      </c>
      <c r="BL91" s="228">
        <f>IF(BL83="","",BL83+BL87)</f>
      </c>
      <c r="BM91" s="228"/>
      <c r="BN91" s="172" t="s">
        <v>317</v>
      </c>
      <c r="BO91" s="228">
        <f>IF(BO83="","",BO83-BO87)</f>
      </c>
      <c r="BP91" s="228"/>
      <c r="BQ91" s="29"/>
    </row>
    <row r="92" spans="1:69" ht="7.5" customHeight="1">
      <c r="A92" s="19"/>
      <c r="B92" s="377"/>
      <c r="C92" s="377"/>
      <c r="D92" s="377"/>
      <c r="E92" s="377"/>
      <c r="F92" s="377"/>
      <c r="G92" s="377"/>
      <c r="H92" s="377"/>
      <c r="I92" s="377"/>
      <c r="J92" s="57"/>
      <c r="K92" s="377"/>
      <c r="L92" s="377"/>
      <c r="M92" s="377"/>
      <c r="N92" s="377"/>
      <c r="O92" s="377"/>
      <c r="P92" s="377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5"/>
      <c r="AL92" s="51"/>
      <c r="AM92" s="377"/>
      <c r="AN92" s="377"/>
      <c r="AO92" s="377"/>
      <c r="AP92" s="397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5"/>
      <c r="BD92" s="13"/>
      <c r="BE92" s="297"/>
      <c r="BF92" s="297"/>
      <c r="BG92" s="297"/>
      <c r="BH92" s="172"/>
      <c r="BI92" s="228"/>
      <c r="BJ92" s="228"/>
      <c r="BK92" s="172"/>
      <c r="BL92" s="228"/>
      <c r="BM92" s="228"/>
      <c r="BN92" s="172"/>
      <c r="BO92" s="228"/>
      <c r="BP92" s="228"/>
      <c r="BQ92" s="29"/>
    </row>
    <row r="93" spans="1:69" ht="7.5" customHeight="1">
      <c r="A93" s="19"/>
      <c r="B93" s="172" t="s">
        <v>293</v>
      </c>
      <c r="C93" s="172"/>
      <c r="D93" s="172"/>
      <c r="E93" s="172"/>
      <c r="F93" s="172"/>
      <c r="G93" s="172"/>
      <c r="H93" s="172"/>
      <c r="I93" s="172"/>
      <c r="J93" s="49"/>
      <c r="K93" s="172" t="s">
        <v>298</v>
      </c>
      <c r="L93" s="172"/>
      <c r="M93" s="172"/>
      <c r="N93" s="228">
        <f>IF(INDEX(Таблицы!AC332:AC375,Таблицы!Y335,1)="","",INDEX(Таблицы!AC332:AC375,Таблицы!Y335,1))</f>
      </c>
      <c r="O93" s="228"/>
      <c r="P93" s="228"/>
      <c r="Q93" s="384" t="s">
        <v>103</v>
      </c>
      <c r="R93" s="384"/>
      <c r="S93" s="384"/>
      <c r="T93" s="384"/>
      <c r="U93" s="385"/>
      <c r="V93" s="383" t="s">
        <v>294</v>
      </c>
      <c r="W93" s="384"/>
      <c r="X93" s="384"/>
      <c r="Y93" s="384"/>
      <c r="Z93" s="385"/>
      <c r="AA93" s="327" t="s">
        <v>299</v>
      </c>
      <c r="AB93" s="328"/>
      <c r="AC93" s="328"/>
      <c r="AD93" s="328"/>
      <c r="AE93" s="346"/>
      <c r="AF93" s="44"/>
      <c r="AG93" s="54"/>
      <c r="AH93" s="44"/>
      <c r="AI93" s="44"/>
      <c r="AJ93" s="44"/>
      <c r="AK93" s="45"/>
      <c r="AL93" s="13"/>
      <c r="AM93" s="327" t="s">
        <v>298</v>
      </c>
      <c r="AN93" s="328"/>
      <c r="AO93" s="346"/>
      <c r="AP93" s="354">
        <f>IF(INDEX(Таблицы!AC378:AC396,Таблицы!Y381,1)="","",INDEX(Таблицы!AC378:AC396,Таблицы!Y381,1))</f>
      </c>
      <c r="AQ93" s="355"/>
      <c r="AR93" s="356"/>
      <c r="AS93" s="383" t="s">
        <v>103</v>
      </c>
      <c r="AT93" s="384"/>
      <c r="AU93" s="384"/>
      <c r="AV93" s="384"/>
      <c r="AW93" s="385"/>
      <c r="AX93" s="44"/>
      <c r="AY93" s="54"/>
      <c r="AZ93" s="44"/>
      <c r="BA93" s="44"/>
      <c r="BB93" s="44"/>
      <c r="BC93" s="45"/>
      <c r="BD93" s="13"/>
      <c r="BE93" s="297"/>
      <c r="BF93" s="297"/>
      <c r="BG93" s="297"/>
      <c r="BH93" s="172" t="s">
        <v>318</v>
      </c>
      <c r="BI93" s="228">
        <f>IF(BI85="","",BI85+BI89)</f>
      </c>
      <c r="BJ93" s="228"/>
      <c r="BK93" s="172" t="s">
        <v>319</v>
      </c>
      <c r="BL93" s="172"/>
      <c r="BM93" s="204">
        <f>IF(BM85="","",BM85+BM89)</f>
      </c>
      <c r="BN93" s="206"/>
      <c r="BO93" s="204" t="s">
        <v>875</v>
      </c>
      <c r="BP93" s="206">
        <f>IF(BP85="","",BP85+BP89)</f>
      </c>
      <c r="BQ93" s="29"/>
    </row>
    <row r="94" spans="1:69" ht="7.5" customHeight="1">
      <c r="A94" s="19"/>
      <c r="B94" s="172"/>
      <c r="C94" s="172"/>
      <c r="D94" s="172"/>
      <c r="E94" s="172"/>
      <c r="F94" s="172"/>
      <c r="G94" s="172"/>
      <c r="H94" s="172"/>
      <c r="I94" s="172"/>
      <c r="J94" s="49"/>
      <c r="K94" s="172"/>
      <c r="L94" s="172"/>
      <c r="M94" s="172"/>
      <c r="N94" s="228"/>
      <c r="O94" s="228"/>
      <c r="P94" s="228"/>
      <c r="Q94" s="330"/>
      <c r="R94" s="330"/>
      <c r="S94" s="384"/>
      <c r="T94" s="384"/>
      <c r="U94" s="385"/>
      <c r="V94" s="329"/>
      <c r="W94" s="330"/>
      <c r="X94" s="384"/>
      <c r="Y94" s="384"/>
      <c r="Z94" s="385"/>
      <c r="AA94" s="329"/>
      <c r="AB94" s="330"/>
      <c r="AC94" s="330"/>
      <c r="AD94" s="330"/>
      <c r="AE94" s="347"/>
      <c r="AF94" s="53"/>
      <c r="AG94" s="13"/>
      <c r="AH94" s="46"/>
      <c r="AI94" s="46"/>
      <c r="AJ94" s="46"/>
      <c r="AK94" s="47"/>
      <c r="AL94" s="56"/>
      <c r="AM94" s="329"/>
      <c r="AN94" s="330"/>
      <c r="AO94" s="347"/>
      <c r="AP94" s="357"/>
      <c r="AQ94" s="358"/>
      <c r="AR94" s="359"/>
      <c r="AS94" s="329"/>
      <c r="AT94" s="330"/>
      <c r="AU94" s="384"/>
      <c r="AV94" s="384"/>
      <c r="AW94" s="385"/>
      <c r="AX94" s="53"/>
      <c r="AY94" s="13"/>
      <c r="AZ94" s="46"/>
      <c r="BA94" s="46"/>
      <c r="BB94" s="46"/>
      <c r="BC94" s="47"/>
      <c r="BD94" s="13"/>
      <c r="BE94" s="297"/>
      <c r="BF94" s="297"/>
      <c r="BG94" s="297"/>
      <c r="BH94" s="172"/>
      <c r="BI94" s="228"/>
      <c r="BJ94" s="228"/>
      <c r="BK94" s="172"/>
      <c r="BL94" s="172"/>
      <c r="BM94" s="205"/>
      <c r="BN94" s="207"/>
      <c r="BO94" s="205"/>
      <c r="BP94" s="207"/>
      <c r="BQ94" s="29"/>
    </row>
    <row r="95" spans="1:69" ht="7.5" customHeight="1">
      <c r="A95" s="19"/>
      <c r="B95" s="228">
        <f>O66+IF(N93="",0,N93)</f>
        <v>5</v>
      </c>
      <c r="C95" s="228"/>
      <c r="D95" s="228"/>
      <c r="E95" s="228"/>
      <c r="F95" s="228"/>
      <c r="G95" s="228"/>
      <c r="H95" s="228"/>
      <c r="I95" s="228"/>
      <c r="J95" s="58"/>
      <c r="K95" s="378" t="s">
        <v>231</v>
      </c>
      <c r="L95" s="378"/>
      <c r="M95" s="378"/>
      <c r="N95" s="378"/>
      <c r="O95" s="378"/>
      <c r="P95" s="378"/>
      <c r="Q95" s="387">
        <f>IF(INDEX(Таблицы!AD332:AD375,Таблицы!Y335,1)="",0,INDEX(Таблицы!AD332:AD375,Таблицы!Y335,1))+INDEX(Таблицы!V2:V10,Таблицы!H1,1)+IF(AND(Таблицы!H1=8,OR(Таблицы!F138=26,Таблицы!F139=26)),5,0)</f>
        <v>0</v>
      </c>
      <c r="R95" s="369"/>
      <c r="S95" s="365">
        <f>IF(INDEX(Таблицы!AE332:AE375,Таблицы!Y335,1)&lt;Таблицы!BA344/100,0,INDEX(Таблицы!AE332:AE375,Таблицы!Y335,1)-Таблицы!BA344/100)+INDEX(Таблицы!W2:W10,Таблицы!H1,1)</f>
        <v>0</v>
      </c>
      <c r="T95" s="365"/>
      <c r="U95" s="366"/>
      <c r="V95" s="274"/>
      <c r="W95" s="386"/>
      <c r="X95" s="379"/>
      <c r="Y95" s="379"/>
      <c r="Z95" s="380"/>
      <c r="AA95" s="298">
        <f>Q95+V95</f>
        <v>0</v>
      </c>
      <c r="AB95" s="369"/>
      <c r="AC95" s="365">
        <f>IF(S95+X95&lt;0,0,S95+X95)</f>
        <v>0</v>
      </c>
      <c r="AD95" s="365"/>
      <c r="AE95" s="366"/>
      <c r="AF95" s="360" t="s">
        <v>100</v>
      </c>
      <c r="AG95" s="361"/>
      <c r="AH95" s="364">
        <v>1</v>
      </c>
      <c r="AI95" s="364"/>
      <c r="AJ95" s="364">
        <v>2</v>
      </c>
      <c r="AK95" s="364"/>
      <c r="AL95" s="13"/>
      <c r="AM95" s="378" t="s">
        <v>231</v>
      </c>
      <c r="AN95" s="378"/>
      <c r="AO95" s="378"/>
      <c r="AP95" s="378"/>
      <c r="AQ95" s="378"/>
      <c r="AR95" s="378"/>
      <c r="AS95" s="298">
        <f>IF(INDEX(Таблицы!AD378:AD396,Таблицы!Y381,1)="",0,INDEX(Таблицы!AD378:AD396,Таблицы!Y381,1))</f>
        <v>0</v>
      </c>
      <c r="AT95" s="369"/>
      <c r="AU95" s="365">
        <f>IF(INDEX(Таблицы!AE378:AE396,Таблицы!Y381,1)&lt;Таблицы!AZ390/100,0,INDEX(Таблицы!AE378:AE396,Таблицы!Y381,1)-Таблицы!AZ390/100)</f>
        <v>0</v>
      </c>
      <c r="AV95" s="365"/>
      <c r="AW95" s="366"/>
      <c r="AX95" s="360" t="s">
        <v>100</v>
      </c>
      <c r="AY95" s="361"/>
      <c r="AZ95" s="364">
        <v>1</v>
      </c>
      <c r="BA95" s="364"/>
      <c r="BB95" s="364">
        <v>2</v>
      </c>
      <c r="BC95" s="364"/>
      <c r="BD95" s="13"/>
      <c r="BE95" s="327" t="s">
        <v>327</v>
      </c>
      <c r="BF95" s="328"/>
      <c r="BG95" s="328"/>
      <c r="BH95" s="328"/>
      <c r="BI95" s="328"/>
      <c r="BJ95" s="328"/>
      <c r="BK95" s="328"/>
      <c r="BL95" s="328"/>
      <c r="BM95" s="328"/>
      <c r="BN95" s="328"/>
      <c r="BO95" s="328"/>
      <c r="BP95" s="346"/>
      <c r="BQ95" s="29"/>
    </row>
    <row r="96" spans="1:69" ht="7.5" customHeight="1">
      <c r="A96" s="19"/>
      <c r="B96" s="228"/>
      <c r="C96" s="228"/>
      <c r="D96" s="228"/>
      <c r="E96" s="228"/>
      <c r="F96" s="228"/>
      <c r="G96" s="228"/>
      <c r="H96" s="228"/>
      <c r="I96" s="228"/>
      <c r="J96" s="58"/>
      <c r="K96" s="378"/>
      <c r="L96" s="378"/>
      <c r="M96" s="378"/>
      <c r="N96" s="378"/>
      <c r="O96" s="378"/>
      <c r="P96" s="378"/>
      <c r="Q96" s="387"/>
      <c r="R96" s="369"/>
      <c r="S96" s="367"/>
      <c r="T96" s="367"/>
      <c r="U96" s="368"/>
      <c r="V96" s="274"/>
      <c r="W96" s="386"/>
      <c r="X96" s="381"/>
      <c r="Y96" s="381"/>
      <c r="Z96" s="382"/>
      <c r="AA96" s="298"/>
      <c r="AB96" s="369"/>
      <c r="AC96" s="367"/>
      <c r="AD96" s="367"/>
      <c r="AE96" s="368"/>
      <c r="AF96" s="360"/>
      <c r="AG96" s="361"/>
      <c r="AH96" s="224"/>
      <c r="AI96" s="224"/>
      <c r="AJ96" s="224"/>
      <c r="AK96" s="224"/>
      <c r="AL96" s="13"/>
      <c r="AM96" s="378"/>
      <c r="AN96" s="378"/>
      <c r="AO96" s="378"/>
      <c r="AP96" s="378"/>
      <c r="AQ96" s="378"/>
      <c r="AR96" s="378"/>
      <c r="AS96" s="298"/>
      <c r="AT96" s="369"/>
      <c r="AU96" s="367"/>
      <c r="AV96" s="367"/>
      <c r="AW96" s="368"/>
      <c r="AX96" s="360"/>
      <c r="AY96" s="361"/>
      <c r="AZ96" s="224"/>
      <c r="BA96" s="224"/>
      <c r="BB96" s="224"/>
      <c r="BC96" s="224"/>
      <c r="BD96" s="13"/>
      <c r="BE96" s="329"/>
      <c r="BF96" s="330"/>
      <c r="BG96" s="330"/>
      <c r="BH96" s="330"/>
      <c r="BI96" s="330"/>
      <c r="BJ96" s="330"/>
      <c r="BK96" s="330"/>
      <c r="BL96" s="330"/>
      <c r="BM96" s="330"/>
      <c r="BN96" s="330"/>
      <c r="BO96" s="330"/>
      <c r="BP96" s="347"/>
      <c r="BQ96" s="29"/>
    </row>
    <row r="97" spans="1:69" ht="7.5" customHeight="1">
      <c r="A97" s="19"/>
      <c r="B97" s="172" t="s">
        <v>300</v>
      </c>
      <c r="C97" s="172"/>
      <c r="D97" s="172"/>
      <c r="E97" s="172"/>
      <c r="F97" s="172"/>
      <c r="G97" s="172"/>
      <c r="H97" s="172"/>
      <c r="I97" s="172"/>
      <c r="J97" s="49"/>
      <c r="K97" s="378" t="s">
        <v>104</v>
      </c>
      <c r="L97" s="378"/>
      <c r="M97" s="378"/>
      <c r="N97" s="378"/>
      <c r="O97" s="378"/>
      <c r="P97" s="378"/>
      <c r="Q97" s="387">
        <f>IF(INDEX(Таблицы!AF332:AF375,Таблицы!Y335,1)="",0,INDEX(Таблицы!AF332:AF375,Таблицы!Y335,1))+INDEX(Таблицы!X2:X10,Таблицы!H1,1)+IF(AND(Таблицы!H1=8,OR(Таблицы!F138=26,Таблицы!F139=26)),5,0)</f>
        <v>0</v>
      </c>
      <c r="R97" s="369"/>
      <c r="S97" s="365">
        <f>IF(INDEX(Таблицы!AG332:AG375,Таблицы!Y335,1)&lt;Таблицы!BA344/100,0,INDEX(Таблицы!AG332:AG375,Таблицы!Y335,1)-Таблицы!BA344/100)+INDEX(Таблицы!Y2:Y10,Таблицы!H1,1)</f>
        <v>0</v>
      </c>
      <c r="T97" s="365"/>
      <c r="U97" s="366"/>
      <c r="V97" s="274"/>
      <c r="W97" s="386"/>
      <c r="X97" s="379"/>
      <c r="Y97" s="379"/>
      <c r="Z97" s="380"/>
      <c r="AA97" s="298">
        <f>Q97+V97</f>
        <v>0</v>
      </c>
      <c r="AB97" s="369"/>
      <c r="AC97" s="365">
        <f>IF(S97+X97&lt;0,0,S97+X97)</f>
        <v>0</v>
      </c>
      <c r="AD97" s="365"/>
      <c r="AE97" s="366"/>
      <c r="AF97" s="360"/>
      <c r="AG97" s="361"/>
      <c r="AH97" s="224">
        <v>3</v>
      </c>
      <c r="AI97" s="224"/>
      <c r="AJ97" s="224">
        <v>4</v>
      </c>
      <c r="AK97" s="224"/>
      <c r="AL97" s="13"/>
      <c r="AM97" s="378" t="s">
        <v>104</v>
      </c>
      <c r="AN97" s="378"/>
      <c r="AO97" s="378"/>
      <c r="AP97" s="378"/>
      <c r="AQ97" s="378"/>
      <c r="AR97" s="378"/>
      <c r="AS97" s="298">
        <f>IF(INDEX(Таблицы!AF378:AF396,Таблицы!Y381,1)="",0,INDEX(Таблицы!AF378:AF396,Таблицы!Y381,1))</f>
        <v>0</v>
      </c>
      <c r="AT97" s="369"/>
      <c r="AU97" s="365">
        <f>IF(INDEX(Таблицы!AG378:AG396,Таблицы!Y381,1)&lt;Таблицы!AZ390/100,0,INDEX(Таблицы!AG378:AG396,Таблицы!Y381,1)-Таблицы!AZ390/100)</f>
        <v>0</v>
      </c>
      <c r="AV97" s="365"/>
      <c r="AW97" s="366"/>
      <c r="AX97" s="360"/>
      <c r="AY97" s="361"/>
      <c r="AZ97" s="224">
        <v>3</v>
      </c>
      <c r="BA97" s="224"/>
      <c r="BB97" s="224">
        <v>4</v>
      </c>
      <c r="BC97" s="224"/>
      <c r="BD97" s="13"/>
      <c r="BE97" s="348">
        <f>IF(INDEX(Таблицы!AT483:AT515,Таблицы!Y485,1)="","",INDEX(Таблицы!AT483:AT515,Таблицы!Y485,1))</f>
      </c>
      <c r="BF97" s="349"/>
      <c r="BG97" s="349"/>
      <c r="BH97" s="349"/>
      <c r="BI97" s="349"/>
      <c r="BJ97" s="349"/>
      <c r="BK97" s="349"/>
      <c r="BL97" s="349"/>
      <c r="BM97" s="349"/>
      <c r="BN97" s="349"/>
      <c r="BO97" s="349"/>
      <c r="BP97" s="350"/>
      <c r="BQ97" s="29"/>
    </row>
    <row r="98" spans="1:69" ht="7.5" customHeight="1">
      <c r="A98" s="19"/>
      <c r="B98" s="172"/>
      <c r="C98" s="172"/>
      <c r="D98" s="172"/>
      <c r="E98" s="172"/>
      <c r="F98" s="172"/>
      <c r="G98" s="172"/>
      <c r="H98" s="172"/>
      <c r="I98" s="172"/>
      <c r="J98" s="49"/>
      <c r="K98" s="378"/>
      <c r="L98" s="378"/>
      <c r="M98" s="378"/>
      <c r="N98" s="378"/>
      <c r="O98" s="378"/>
      <c r="P98" s="378"/>
      <c r="Q98" s="387"/>
      <c r="R98" s="369"/>
      <c r="S98" s="367"/>
      <c r="T98" s="367"/>
      <c r="U98" s="368"/>
      <c r="V98" s="274"/>
      <c r="W98" s="386"/>
      <c r="X98" s="381"/>
      <c r="Y98" s="381"/>
      <c r="Z98" s="382"/>
      <c r="AA98" s="298"/>
      <c r="AB98" s="369"/>
      <c r="AC98" s="367"/>
      <c r="AD98" s="367"/>
      <c r="AE98" s="368"/>
      <c r="AF98" s="360"/>
      <c r="AG98" s="361"/>
      <c r="AH98" s="224"/>
      <c r="AI98" s="224"/>
      <c r="AJ98" s="224"/>
      <c r="AK98" s="224"/>
      <c r="AL98" s="13"/>
      <c r="AM98" s="378"/>
      <c r="AN98" s="378"/>
      <c r="AO98" s="378"/>
      <c r="AP98" s="378"/>
      <c r="AQ98" s="378"/>
      <c r="AR98" s="378"/>
      <c r="AS98" s="298"/>
      <c r="AT98" s="369"/>
      <c r="AU98" s="367"/>
      <c r="AV98" s="367"/>
      <c r="AW98" s="368"/>
      <c r="AX98" s="360"/>
      <c r="AY98" s="361"/>
      <c r="AZ98" s="224"/>
      <c r="BA98" s="224"/>
      <c r="BB98" s="224"/>
      <c r="BC98" s="224"/>
      <c r="BD98" s="13"/>
      <c r="BE98" s="351"/>
      <c r="BF98" s="352"/>
      <c r="BG98" s="352"/>
      <c r="BH98" s="352"/>
      <c r="BI98" s="352"/>
      <c r="BJ98" s="352"/>
      <c r="BK98" s="352"/>
      <c r="BL98" s="352"/>
      <c r="BM98" s="352"/>
      <c r="BN98" s="352"/>
      <c r="BO98" s="352"/>
      <c r="BP98" s="353"/>
      <c r="BQ98" s="29"/>
    </row>
    <row r="99" spans="1:69" ht="7.5" customHeight="1" thickBot="1">
      <c r="A99" s="19"/>
      <c r="B99" s="227"/>
      <c r="C99" s="227"/>
      <c r="D99" s="227"/>
      <c r="E99" s="227"/>
      <c r="F99" s="227"/>
      <c r="G99" s="227"/>
      <c r="H99" s="227"/>
      <c r="I99" s="227"/>
      <c r="J99" s="58"/>
      <c r="K99" s="378" t="s">
        <v>107</v>
      </c>
      <c r="L99" s="378"/>
      <c r="M99" s="378"/>
      <c r="N99" s="378"/>
      <c r="O99" s="378"/>
      <c r="P99" s="378"/>
      <c r="Q99" s="387">
        <f>IF(INDEX(Таблицы!AH332:AH375,Таблицы!Y335,1)="",0,INDEX(Таблицы!AH332:AH375,Таблицы!Y335,1))+INDEX(Таблицы!Z2:Z10,Таблицы!H1,1)+IF(AND(Таблицы!H1=8,OR(Таблицы!F138=26,Таблицы!F139=26)),5,0)</f>
        <v>0</v>
      </c>
      <c r="R99" s="369"/>
      <c r="S99" s="365">
        <f>IF(INDEX(Таблицы!AI332:AI375,Таблицы!Y335,1)&lt;Таблицы!BA344/100,0,INDEX(Таблицы!AI332:AI375,Таблицы!Y335,1)-Таблицы!BA344/100)+INDEX(Таблицы!AA2:AA10,Таблицы!H1,1)</f>
        <v>0</v>
      </c>
      <c r="T99" s="365"/>
      <c r="U99" s="366"/>
      <c r="V99" s="274"/>
      <c r="W99" s="386"/>
      <c r="X99" s="379"/>
      <c r="Y99" s="379"/>
      <c r="Z99" s="380"/>
      <c r="AA99" s="298">
        <f>Q99+V99</f>
        <v>0</v>
      </c>
      <c r="AB99" s="369"/>
      <c r="AC99" s="365">
        <f>IF(S99+X99&lt;0,0,S99+X99)</f>
        <v>0</v>
      </c>
      <c r="AD99" s="365"/>
      <c r="AE99" s="366"/>
      <c r="AF99" s="360"/>
      <c r="AG99" s="361"/>
      <c r="AH99" s="224">
        <v>5</v>
      </c>
      <c r="AI99" s="224"/>
      <c r="AJ99" s="224">
        <v>6</v>
      </c>
      <c r="AK99" s="224"/>
      <c r="AL99" s="13"/>
      <c r="AM99" s="378" t="s">
        <v>107</v>
      </c>
      <c r="AN99" s="378"/>
      <c r="AO99" s="378"/>
      <c r="AP99" s="378"/>
      <c r="AQ99" s="378"/>
      <c r="AR99" s="378"/>
      <c r="AS99" s="298">
        <f>IF(INDEX(Таблицы!AH378:AH396,Таблицы!Y381,1)="",0,INDEX(Таблицы!AH378:AH396,Таблицы!Y381,1))</f>
        <v>0</v>
      </c>
      <c r="AT99" s="369"/>
      <c r="AU99" s="365">
        <f>IF(INDEX(Таблицы!AI378:AI396,Таблицы!Y381,1)&lt;Таблицы!AZ390/100,0,INDEX(Таблицы!AI378:AI396,Таблицы!Y381,1)-Таблицы!AZ390/100)</f>
        <v>0</v>
      </c>
      <c r="AV99" s="365"/>
      <c r="AW99" s="366"/>
      <c r="AX99" s="360"/>
      <c r="AY99" s="361"/>
      <c r="AZ99" s="224">
        <v>5</v>
      </c>
      <c r="BA99" s="224"/>
      <c r="BB99" s="224">
        <v>6</v>
      </c>
      <c r="BC99" s="224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29"/>
    </row>
    <row r="100" spans="1:69" ht="7.5" customHeight="1">
      <c r="A100" s="19"/>
      <c r="B100" s="227"/>
      <c r="C100" s="227"/>
      <c r="D100" s="227"/>
      <c r="E100" s="227"/>
      <c r="F100" s="227"/>
      <c r="G100" s="227"/>
      <c r="H100" s="227"/>
      <c r="I100" s="227"/>
      <c r="J100" s="58"/>
      <c r="K100" s="378"/>
      <c r="L100" s="378"/>
      <c r="M100" s="378"/>
      <c r="N100" s="378"/>
      <c r="O100" s="378"/>
      <c r="P100" s="378"/>
      <c r="Q100" s="387"/>
      <c r="R100" s="369"/>
      <c r="S100" s="367"/>
      <c r="T100" s="367"/>
      <c r="U100" s="368"/>
      <c r="V100" s="274"/>
      <c r="W100" s="386"/>
      <c r="X100" s="381"/>
      <c r="Y100" s="381"/>
      <c r="Z100" s="382"/>
      <c r="AA100" s="298"/>
      <c r="AB100" s="369"/>
      <c r="AC100" s="367"/>
      <c r="AD100" s="367"/>
      <c r="AE100" s="368"/>
      <c r="AF100" s="360"/>
      <c r="AG100" s="361"/>
      <c r="AH100" s="224"/>
      <c r="AI100" s="224"/>
      <c r="AJ100" s="224"/>
      <c r="AK100" s="224"/>
      <c r="AL100" s="13"/>
      <c r="AM100" s="378"/>
      <c r="AN100" s="378"/>
      <c r="AO100" s="378"/>
      <c r="AP100" s="378"/>
      <c r="AQ100" s="378"/>
      <c r="AR100" s="378"/>
      <c r="AS100" s="298"/>
      <c r="AT100" s="369"/>
      <c r="AU100" s="367"/>
      <c r="AV100" s="367"/>
      <c r="AW100" s="368"/>
      <c r="AX100" s="360"/>
      <c r="AY100" s="361"/>
      <c r="AZ100" s="224"/>
      <c r="BA100" s="224"/>
      <c r="BB100" s="224"/>
      <c r="BC100" s="224"/>
      <c r="BD100" s="13"/>
      <c r="BE100" s="321" t="s">
        <v>1077</v>
      </c>
      <c r="BF100" s="322"/>
      <c r="BG100" s="322"/>
      <c r="BH100" s="322"/>
      <c r="BI100" s="322"/>
      <c r="BJ100" s="322"/>
      <c r="BK100" s="322"/>
      <c r="BL100" s="322"/>
      <c r="BM100" s="322"/>
      <c r="BN100" s="322"/>
      <c r="BO100" s="322"/>
      <c r="BP100" s="323"/>
      <c r="BQ100" s="29"/>
    </row>
    <row r="101" spans="1:69" ht="7.5" customHeight="1" thickBot="1">
      <c r="A101" s="59"/>
      <c r="B101" s="172" t="s">
        <v>295</v>
      </c>
      <c r="C101" s="172"/>
      <c r="D101" s="172"/>
      <c r="E101" s="172"/>
      <c r="F101" s="172"/>
      <c r="G101" s="172"/>
      <c r="H101" s="172"/>
      <c r="I101" s="172"/>
      <c r="J101" s="49"/>
      <c r="K101" s="378" t="s">
        <v>105</v>
      </c>
      <c r="L101" s="378"/>
      <c r="M101" s="378"/>
      <c r="N101" s="378"/>
      <c r="O101" s="378"/>
      <c r="P101" s="378"/>
      <c r="Q101" s="387">
        <f>IF(INDEX(Таблицы!AJ332:AJ375,Таблицы!Y335,1)="",0,INDEX(Таблицы!AJ332:AJ375,Таблицы!Y335,1))+INDEX(Таблицы!AB2:AB10,Таблицы!H1,1)+IF(AND(Таблицы!H1=8,OR(Таблицы!F138=26,Таблицы!F139=26)),5,0)</f>
        <v>0</v>
      </c>
      <c r="R101" s="369"/>
      <c r="S101" s="365">
        <f>IF(INDEX(Таблицы!AK332:AK375,Таблицы!Y335,1)&lt;Таблицы!BA344/100,0,INDEX(Таблицы!AK332:AK375,Таблицы!Y335,1)-Таблицы!BA344/100)+INDEX(Таблицы!AC2:AC10,Таблицы!H1,1)</f>
        <v>0</v>
      </c>
      <c r="T101" s="365"/>
      <c r="U101" s="366"/>
      <c r="V101" s="274"/>
      <c r="W101" s="386"/>
      <c r="X101" s="379"/>
      <c r="Y101" s="379"/>
      <c r="Z101" s="380"/>
      <c r="AA101" s="298">
        <f>Q101+V101</f>
        <v>0</v>
      </c>
      <c r="AB101" s="369"/>
      <c r="AC101" s="365">
        <f>IF(S101+X101&lt;0,0,S101+X101)</f>
        <v>0</v>
      </c>
      <c r="AD101" s="365"/>
      <c r="AE101" s="366"/>
      <c r="AF101" s="360"/>
      <c r="AG101" s="361"/>
      <c r="AH101" s="224">
        <v>7</v>
      </c>
      <c r="AI101" s="224"/>
      <c r="AJ101" s="224">
        <v>8</v>
      </c>
      <c r="AK101" s="224"/>
      <c r="AL101" s="13"/>
      <c r="AM101" s="378" t="s">
        <v>105</v>
      </c>
      <c r="AN101" s="378"/>
      <c r="AO101" s="378"/>
      <c r="AP101" s="378"/>
      <c r="AQ101" s="378"/>
      <c r="AR101" s="378"/>
      <c r="AS101" s="298">
        <f>IF(INDEX(Таблицы!AJ378:AJ396,Таблицы!Y381,1)="",0,INDEX(Таблицы!AJ378:AJ396,Таблицы!Y381,1))</f>
        <v>0</v>
      </c>
      <c r="AT101" s="369"/>
      <c r="AU101" s="365">
        <f>IF(INDEX(Таблицы!AK378:AK396,Таблицы!Y381,1)&lt;Таблицы!AZ390/100,0,INDEX(Таблицы!AK378:AK396,Таблицы!Y381,1)-Таблицы!AZ390/100)</f>
        <v>0</v>
      </c>
      <c r="AV101" s="365"/>
      <c r="AW101" s="366"/>
      <c r="AX101" s="360"/>
      <c r="AY101" s="361"/>
      <c r="AZ101" s="224">
        <v>7</v>
      </c>
      <c r="BA101" s="224"/>
      <c r="BB101" s="224">
        <v>8</v>
      </c>
      <c r="BC101" s="224"/>
      <c r="BD101" s="13"/>
      <c r="BE101" s="324"/>
      <c r="BF101" s="325"/>
      <c r="BG101" s="325"/>
      <c r="BH101" s="325"/>
      <c r="BI101" s="325"/>
      <c r="BJ101" s="325"/>
      <c r="BK101" s="325"/>
      <c r="BL101" s="325"/>
      <c r="BM101" s="325"/>
      <c r="BN101" s="325"/>
      <c r="BO101" s="325"/>
      <c r="BP101" s="326"/>
      <c r="BQ101" s="29"/>
    </row>
    <row r="102" spans="1:69" ht="7.5" customHeight="1">
      <c r="A102" s="19"/>
      <c r="B102" s="172"/>
      <c r="C102" s="172"/>
      <c r="D102" s="172"/>
      <c r="E102" s="172"/>
      <c r="F102" s="172"/>
      <c r="G102" s="172"/>
      <c r="H102" s="172"/>
      <c r="I102" s="172"/>
      <c r="J102" s="49"/>
      <c r="K102" s="378"/>
      <c r="L102" s="378"/>
      <c r="M102" s="378"/>
      <c r="N102" s="378"/>
      <c r="O102" s="378"/>
      <c r="P102" s="378"/>
      <c r="Q102" s="387"/>
      <c r="R102" s="369"/>
      <c r="S102" s="367"/>
      <c r="T102" s="367"/>
      <c r="U102" s="368"/>
      <c r="V102" s="274"/>
      <c r="W102" s="386"/>
      <c r="X102" s="381"/>
      <c r="Y102" s="381"/>
      <c r="Z102" s="382"/>
      <c r="AA102" s="298"/>
      <c r="AB102" s="369"/>
      <c r="AC102" s="367"/>
      <c r="AD102" s="367"/>
      <c r="AE102" s="368"/>
      <c r="AF102" s="360"/>
      <c r="AG102" s="361"/>
      <c r="AH102" s="224"/>
      <c r="AI102" s="224"/>
      <c r="AJ102" s="224"/>
      <c r="AK102" s="224"/>
      <c r="AL102" s="13"/>
      <c r="AM102" s="378"/>
      <c r="AN102" s="378"/>
      <c r="AO102" s="378"/>
      <c r="AP102" s="378"/>
      <c r="AQ102" s="378"/>
      <c r="AR102" s="378"/>
      <c r="AS102" s="298"/>
      <c r="AT102" s="369"/>
      <c r="AU102" s="367"/>
      <c r="AV102" s="367"/>
      <c r="AW102" s="368"/>
      <c r="AX102" s="360"/>
      <c r="AY102" s="361"/>
      <c r="AZ102" s="224"/>
      <c r="BA102" s="224"/>
      <c r="BB102" s="224"/>
      <c r="BC102" s="224"/>
      <c r="BD102" s="13"/>
      <c r="BE102" s="395" t="s">
        <v>985</v>
      </c>
      <c r="BF102" s="395"/>
      <c r="BG102" s="395"/>
      <c r="BH102" s="395"/>
      <c r="BI102" s="395"/>
      <c r="BJ102" s="395"/>
      <c r="BK102" s="395"/>
      <c r="BL102" s="395"/>
      <c r="BM102" s="395"/>
      <c r="BN102" s="395"/>
      <c r="BO102" s="395">
        <v>4</v>
      </c>
      <c r="BP102" s="395"/>
      <c r="BQ102" s="29"/>
    </row>
    <row r="103" spans="1:69" ht="7.5" customHeight="1">
      <c r="A103" s="19"/>
      <c r="B103" s="228">
        <f>B95+B99</f>
        <v>5</v>
      </c>
      <c r="C103" s="228"/>
      <c r="D103" s="228"/>
      <c r="E103" s="228"/>
      <c r="F103" s="228"/>
      <c r="G103" s="228"/>
      <c r="H103" s="228"/>
      <c r="I103" s="228"/>
      <c r="J103" s="58"/>
      <c r="K103" s="378" t="s">
        <v>106</v>
      </c>
      <c r="L103" s="378"/>
      <c r="M103" s="378"/>
      <c r="N103" s="378"/>
      <c r="O103" s="378"/>
      <c r="P103" s="378"/>
      <c r="Q103" s="387">
        <f>IF(INDEX(Таблицы!AL332:AL375,Таблицы!Y335,1)="",0,INDEX(Таблицы!AL332:AL375,Таблицы!Y335,1))+INDEX(Таблицы!AD2:AD10,Таблицы!H1,1)+IF(AND(Таблицы!H1=8,OR(Таблицы!F138=26,Таблицы!F139=26)),5,0)</f>
        <v>0</v>
      </c>
      <c r="R103" s="369"/>
      <c r="S103" s="365">
        <f>IF(INDEX(Таблицы!AM332:AM375,Таблицы!Y335,1)&lt;Таблицы!BA344/100,0,INDEX(Таблицы!AM332:AM375,Таблицы!Y335,1)-Таблицы!BA344/100)+INDEX(Таблицы!AE2:AE10,Таблицы!H1,1)</f>
        <v>0</v>
      </c>
      <c r="T103" s="365"/>
      <c r="U103" s="366"/>
      <c r="V103" s="274"/>
      <c r="W103" s="386"/>
      <c r="X103" s="379"/>
      <c r="Y103" s="379"/>
      <c r="Z103" s="380"/>
      <c r="AA103" s="298">
        <f>Q103+V103</f>
        <v>0</v>
      </c>
      <c r="AB103" s="369"/>
      <c r="AC103" s="365">
        <f>IF(S103+X103&lt;0,0,S103+X103)</f>
        <v>0</v>
      </c>
      <c r="AD103" s="365"/>
      <c r="AE103" s="366"/>
      <c r="AF103" s="360"/>
      <c r="AG103" s="361"/>
      <c r="AH103" s="224">
        <v>9</v>
      </c>
      <c r="AI103" s="224"/>
      <c r="AJ103" s="224">
        <v>10</v>
      </c>
      <c r="AK103" s="224"/>
      <c r="AL103" s="13"/>
      <c r="AM103" s="378" t="s">
        <v>106</v>
      </c>
      <c r="AN103" s="378"/>
      <c r="AO103" s="378"/>
      <c r="AP103" s="378"/>
      <c r="AQ103" s="378"/>
      <c r="AR103" s="378"/>
      <c r="AS103" s="298" t="s">
        <v>285</v>
      </c>
      <c r="AT103" s="369"/>
      <c r="AU103" s="365" t="s">
        <v>285</v>
      </c>
      <c r="AV103" s="365"/>
      <c r="AW103" s="366"/>
      <c r="AX103" s="360"/>
      <c r="AY103" s="361"/>
      <c r="AZ103" s="224">
        <v>9</v>
      </c>
      <c r="BA103" s="224"/>
      <c r="BB103" s="224">
        <v>10</v>
      </c>
      <c r="BC103" s="224"/>
      <c r="BD103" s="13"/>
      <c r="BE103" s="261"/>
      <c r="BF103" s="261"/>
      <c r="BG103" s="261"/>
      <c r="BH103" s="261"/>
      <c r="BI103" s="261"/>
      <c r="BJ103" s="261"/>
      <c r="BK103" s="261"/>
      <c r="BL103" s="261"/>
      <c r="BM103" s="261"/>
      <c r="BN103" s="261"/>
      <c r="BO103" s="261"/>
      <c r="BP103" s="261"/>
      <c r="BQ103" s="29"/>
    </row>
    <row r="104" spans="1:69" ht="7.5" customHeight="1">
      <c r="A104" s="19"/>
      <c r="B104" s="228"/>
      <c r="C104" s="228"/>
      <c r="D104" s="228"/>
      <c r="E104" s="228"/>
      <c r="F104" s="228"/>
      <c r="G104" s="228"/>
      <c r="H104" s="228"/>
      <c r="I104" s="228"/>
      <c r="J104" s="26"/>
      <c r="K104" s="378"/>
      <c r="L104" s="378"/>
      <c r="M104" s="378"/>
      <c r="N104" s="378"/>
      <c r="O104" s="378"/>
      <c r="P104" s="378"/>
      <c r="Q104" s="387"/>
      <c r="R104" s="369"/>
      <c r="S104" s="367"/>
      <c r="T104" s="367"/>
      <c r="U104" s="368"/>
      <c r="V104" s="274"/>
      <c r="W104" s="386"/>
      <c r="X104" s="381"/>
      <c r="Y104" s="381"/>
      <c r="Z104" s="382"/>
      <c r="AA104" s="298"/>
      <c r="AB104" s="369"/>
      <c r="AC104" s="367"/>
      <c r="AD104" s="367"/>
      <c r="AE104" s="368"/>
      <c r="AF104" s="362"/>
      <c r="AG104" s="363"/>
      <c r="AH104" s="224"/>
      <c r="AI104" s="224"/>
      <c r="AJ104" s="224"/>
      <c r="AK104" s="224"/>
      <c r="AL104" s="13"/>
      <c r="AM104" s="378"/>
      <c r="AN104" s="378"/>
      <c r="AO104" s="378"/>
      <c r="AP104" s="378"/>
      <c r="AQ104" s="378"/>
      <c r="AR104" s="378"/>
      <c r="AS104" s="298"/>
      <c r="AT104" s="369"/>
      <c r="AU104" s="367"/>
      <c r="AV104" s="367"/>
      <c r="AW104" s="368"/>
      <c r="AX104" s="362"/>
      <c r="AY104" s="363"/>
      <c r="AZ104" s="224"/>
      <c r="BA104" s="224"/>
      <c r="BB104" s="224"/>
      <c r="BC104" s="224"/>
      <c r="BD104" s="13"/>
      <c r="BE104" s="261" t="s">
        <v>1199</v>
      </c>
      <c r="BF104" s="261"/>
      <c r="BG104" s="261"/>
      <c r="BH104" s="261"/>
      <c r="BI104" s="261"/>
      <c r="BJ104" s="261"/>
      <c r="BK104" s="261"/>
      <c r="BL104" s="261"/>
      <c r="BM104" s="261"/>
      <c r="BN104" s="261"/>
      <c r="BO104" s="261">
        <v>1</v>
      </c>
      <c r="BP104" s="261"/>
      <c r="BQ104" s="29"/>
    </row>
    <row r="105" spans="1:69" ht="7.5" customHeight="1">
      <c r="A105" s="65"/>
      <c r="B105" s="46"/>
      <c r="C105" s="46"/>
      <c r="D105" s="46"/>
      <c r="E105" s="46"/>
      <c r="F105" s="68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261"/>
      <c r="BF105" s="261"/>
      <c r="BG105" s="261"/>
      <c r="BH105" s="261"/>
      <c r="BI105" s="261"/>
      <c r="BJ105" s="261"/>
      <c r="BK105" s="261"/>
      <c r="BL105" s="261"/>
      <c r="BM105" s="261"/>
      <c r="BN105" s="261"/>
      <c r="BO105" s="261"/>
      <c r="BP105" s="261"/>
      <c r="BQ105" s="29"/>
    </row>
    <row r="106" spans="1:69" ht="7.5" customHeight="1" thickBot="1">
      <c r="A106" s="19"/>
      <c r="B106" s="13"/>
      <c r="C106" s="13"/>
      <c r="D106" s="13"/>
      <c r="E106" s="13"/>
      <c r="F106" s="35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261"/>
      <c r="BF106" s="261"/>
      <c r="BG106" s="261"/>
      <c r="BH106" s="261"/>
      <c r="BI106" s="261"/>
      <c r="BJ106" s="261"/>
      <c r="BK106" s="261"/>
      <c r="BL106" s="261"/>
      <c r="BM106" s="261"/>
      <c r="BN106" s="261"/>
      <c r="BO106" s="261"/>
      <c r="BP106" s="261"/>
      <c r="BQ106" s="29"/>
    </row>
    <row r="107" spans="1:69" ht="7.5" customHeight="1">
      <c r="A107" s="19"/>
      <c r="B107" s="370" t="s">
        <v>301</v>
      </c>
      <c r="C107" s="371"/>
      <c r="D107" s="371"/>
      <c r="E107" s="371"/>
      <c r="F107" s="371"/>
      <c r="G107" s="371"/>
      <c r="H107" s="371"/>
      <c r="I107" s="371"/>
      <c r="J107" s="371"/>
      <c r="K107" s="371"/>
      <c r="L107" s="371"/>
      <c r="M107" s="371"/>
      <c r="N107" s="371"/>
      <c r="O107" s="371"/>
      <c r="P107" s="371"/>
      <c r="Q107" s="371"/>
      <c r="R107" s="371"/>
      <c r="S107" s="371"/>
      <c r="T107" s="371"/>
      <c r="U107" s="371"/>
      <c r="V107" s="371"/>
      <c r="W107" s="371"/>
      <c r="X107" s="371"/>
      <c r="Y107" s="371"/>
      <c r="Z107" s="371"/>
      <c r="AA107" s="371"/>
      <c r="AB107" s="371"/>
      <c r="AC107" s="371"/>
      <c r="AD107" s="371"/>
      <c r="AE107" s="371"/>
      <c r="AF107" s="371"/>
      <c r="AG107" s="371"/>
      <c r="AH107" s="371"/>
      <c r="AI107" s="371"/>
      <c r="AJ107" s="371"/>
      <c r="AK107" s="371"/>
      <c r="AL107" s="371"/>
      <c r="AM107" s="371"/>
      <c r="AN107" s="371"/>
      <c r="AO107" s="371"/>
      <c r="AP107" s="371"/>
      <c r="AQ107" s="371"/>
      <c r="AR107" s="371"/>
      <c r="AS107" s="371"/>
      <c r="AT107" s="371"/>
      <c r="AU107" s="371"/>
      <c r="AV107" s="371"/>
      <c r="AW107" s="371"/>
      <c r="AX107" s="371"/>
      <c r="AY107" s="371"/>
      <c r="AZ107" s="371"/>
      <c r="BA107" s="371"/>
      <c r="BB107" s="371"/>
      <c r="BC107" s="372"/>
      <c r="BD107" s="13"/>
      <c r="BE107" s="261"/>
      <c r="BF107" s="261"/>
      <c r="BG107" s="261"/>
      <c r="BH107" s="261"/>
      <c r="BI107" s="261"/>
      <c r="BJ107" s="261"/>
      <c r="BK107" s="261"/>
      <c r="BL107" s="261"/>
      <c r="BM107" s="261"/>
      <c r="BN107" s="261"/>
      <c r="BO107" s="261"/>
      <c r="BP107" s="261"/>
      <c r="BQ107" s="29"/>
    </row>
    <row r="108" spans="1:69" ht="7.5" customHeight="1">
      <c r="A108" s="19"/>
      <c r="B108" s="392"/>
      <c r="C108" s="393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3"/>
      <c r="V108" s="393"/>
      <c r="W108" s="393"/>
      <c r="X108" s="393"/>
      <c r="Y108" s="393"/>
      <c r="Z108" s="393"/>
      <c r="AA108" s="393"/>
      <c r="AB108" s="393"/>
      <c r="AC108" s="393"/>
      <c r="AD108" s="393"/>
      <c r="AE108" s="393"/>
      <c r="AF108" s="393"/>
      <c r="AG108" s="393"/>
      <c r="AH108" s="393"/>
      <c r="AI108" s="393"/>
      <c r="AJ108" s="393"/>
      <c r="AK108" s="393"/>
      <c r="AL108" s="393"/>
      <c r="AM108" s="393"/>
      <c r="AN108" s="393"/>
      <c r="AO108" s="393"/>
      <c r="AP108" s="393"/>
      <c r="AQ108" s="393"/>
      <c r="AR108" s="393"/>
      <c r="AS108" s="393"/>
      <c r="AT108" s="393"/>
      <c r="AU108" s="393"/>
      <c r="AV108" s="393"/>
      <c r="AW108" s="393"/>
      <c r="AX108" s="393"/>
      <c r="AY108" s="393"/>
      <c r="AZ108" s="393"/>
      <c r="BA108" s="393"/>
      <c r="BB108" s="393"/>
      <c r="BC108" s="394"/>
      <c r="BD108" s="13"/>
      <c r="BE108" s="261"/>
      <c r="BF108" s="261"/>
      <c r="BG108" s="261"/>
      <c r="BH108" s="261"/>
      <c r="BI108" s="261"/>
      <c r="BJ108" s="261"/>
      <c r="BK108" s="261"/>
      <c r="BL108" s="261"/>
      <c r="BM108" s="261"/>
      <c r="BN108" s="261"/>
      <c r="BO108" s="261"/>
      <c r="BP108" s="261"/>
      <c r="BQ108" s="29"/>
    </row>
    <row r="109" spans="1:69" ht="7.5" customHeight="1">
      <c r="A109" s="19"/>
      <c r="B109" s="336" t="s">
        <v>303</v>
      </c>
      <c r="C109" s="334" t="s">
        <v>304</v>
      </c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88" t="s">
        <v>98</v>
      </c>
      <c r="R109" s="388"/>
      <c r="S109" s="388"/>
      <c r="T109" s="388" t="s">
        <v>229</v>
      </c>
      <c r="U109" s="388"/>
      <c r="V109" s="388"/>
      <c r="W109" s="388" t="s">
        <v>302</v>
      </c>
      <c r="X109" s="388"/>
      <c r="Y109" s="388"/>
      <c r="Z109" s="388" t="s">
        <v>70</v>
      </c>
      <c r="AA109" s="388"/>
      <c r="AB109" s="388"/>
      <c r="AC109" s="334" t="s">
        <v>303</v>
      </c>
      <c r="AD109" s="334" t="s">
        <v>304</v>
      </c>
      <c r="AE109" s="334"/>
      <c r="AF109" s="334"/>
      <c r="AG109" s="334"/>
      <c r="AH109" s="334"/>
      <c r="AI109" s="334"/>
      <c r="AJ109" s="334"/>
      <c r="AK109" s="334"/>
      <c r="AL109" s="334"/>
      <c r="AM109" s="334"/>
      <c r="AN109" s="334"/>
      <c r="AO109" s="334"/>
      <c r="AP109" s="334"/>
      <c r="AQ109" s="334"/>
      <c r="AR109" s="388" t="s">
        <v>98</v>
      </c>
      <c r="AS109" s="388"/>
      <c r="AT109" s="388"/>
      <c r="AU109" s="388" t="s">
        <v>229</v>
      </c>
      <c r="AV109" s="388"/>
      <c r="AW109" s="388"/>
      <c r="AX109" s="388" t="s">
        <v>302</v>
      </c>
      <c r="AY109" s="388"/>
      <c r="AZ109" s="388"/>
      <c r="BA109" s="388" t="s">
        <v>70</v>
      </c>
      <c r="BB109" s="388"/>
      <c r="BC109" s="390"/>
      <c r="BD109" s="13"/>
      <c r="BE109" s="261"/>
      <c r="BF109" s="261"/>
      <c r="BG109" s="261"/>
      <c r="BH109" s="261"/>
      <c r="BI109" s="261"/>
      <c r="BJ109" s="261"/>
      <c r="BK109" s="261"/>
      <c r="BL109" s="261"/>
      <c r="BM109" s="261"/>
      <c r="BN109" s="261"/>
      <c r="BO109" s="261"/>
      <c r="BP109" s="261"/>
      <c r="BQ109" s="29"/>
    </row>
    <row r="110" spans="1:69" ht="7.5" customHeight="1" thickBot="1">
      <c r="A110" s="19"/>
      <c r="B110" s="337"/>
      <c r="C110" s="335"/>
      <c r="D110" s="335"/>
      <c r="E110" s="335"/>
      <c r="F110" s="335"/>
      <c r="G110" s="335"/>
      <c r="H110" s="335"/>
      <c r="I110" s="335"/>
      <c r="J110" s="335"/>
      <c r="K110" s="335"/>
      <c r="L110" s="335"/>
      <c r="M110" s="335"/>
      <c r="N110" s="335"/>
      <c r="O110" s="335"/>
      <c r="P110" s="335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35"/>
      <c r="AD110" s="335"/>
      <c r="AE110" s="335"/>
      <c r="AF110" s="335"/>
      <c r="AG110" s="335"/>
      <c r="AH110" s="335"/>
      <c r="AI110" s="335"/>
      <c r="AJ110" s="335"/>
      <c r="AK110" s="335"/>
      <c r="AL110" s="335"/>
      <c r="AM110" s="335"/>
      <c r="AN110" s="335"/>
      <c r="AO110" s="335"/>
      <c r="AP110" s="335"/>
      <c r="AQ110" s="335"/>
      <c r="AR110" s="389"/>
      <c r="AS110" s="389"/>
      <c r="AT110" s="389"/>
      <c r="AU110" s="389"/>
      <c r="AV110" s="389"/>
      <c r="AW110" s="389"/>
      <c r="AX110" s="389"/>
      <c r="AY110" s="389"/>
      <c r="AZ110" s="389"/>
      <c r="BA110" s="389"/>
      <c r="BB110" s="389"/>
      <c r="BC110" s="391"/>
      <c r="BD110" s="13"/>
      <c r="BE110" s="261"/>
      <c r="BF110" s="261"/>
      <c r="BG110" s="261"/>
      <c r="BH110" s="261"/>
      <c r="BI110" s="261"/>
      <c r="BJ110" s="261"/>
      <c r="BK110" s="261"/>
      <c r="BL110" s="261"/>
      <c r="BM110" s="261"/>
      <c r="BN110" s="261"/>
      <c r="BO110" s="261"/>
      <c r="BP110" s="261"/>
      <c r="BQ110" s="29"/>
    </row>
    <row r="111" spans="1:69" ht="7.5" customHeight="1">
      <c r="A111" s="19"/>
      <c r="B111" s="308">
        <v>1</v>
      </c>
      <c r="C111" s="499"/>
      <c r="D111" s="499"/>
      <c r="E111" s="499"/>
      <c r="F111" s="499"/>
      <c r="G111" s="499"/>
      <c r="H111" s="499"/>
      <c r="I111" s="499"/>
      <c r="J111" s="499"/>
      <c r="K111" s="499"/>
      <c r="L111" s="499"/>
      <c r="M111" s="499"/>
      <c r="N111" s="499"/>
      <c r="O111" s="499"/>
      <c r="P111" s="499"/>
      <c r="Q111" s="500"/>
      <c r="R111" s="500"/>
      <c r="S111" s="500"/>
      <c r="T111" s="299">
        <f>IF(INDEX(Таблицы!AA398:AA462,Таблицы!Y422,1)="",0,INDEX(Таблицы!AA398:AA462,Таблицы!Y422,1))</f>
        <v>0</v>
      </c>
      <c r="U111" s="299"/>
      <c r="V111" s="299"/>
      <c r="W111" s="299">
        <f>IF(AK39&lt;30,T111*3,IF(AK39&lt;126,T111*2+T111*(100-AK39)/100,T111*(AK39-100)/100))</f>
        <v>0</v>
      </c>
      <c r="X111" s="299"/>
      <c r="Y111" s="299"/>
      <c r="Z111" s="299">
        <f>IF(INDEX(Таблицы!AB398:AB462,Таблицы!Y422,1)="",0,INDEX(Таблицы!AB398:AB462,Таблицы!Y422,1))*Q111</f>
        <v>0</v>
      </c>
      <c r="AA111" s="299"/>
      <c r="AB111" s="299"/>
      <c r="AC111" s="307">
        <v>8</v>
      </c>
      <c r="AD111" s="309"/>
      <c r="AE111" s="310"/>
      <c r="AF111" s="310"/>
      <c r="AG111" s="310"/>
      <c r="AH111" s="310"/>
      <c r="AI111" s="310"/>
      <c r="AJ111" s="310"/>
      <c r="AK111" s="310"/>
      <c r="AL111" s="310"/>
      <c r="AM111" s="310"/>
      <c r="AN111" s="310"/>
      <c r="AO111" s="310"/>
      <c r="AP111" s="310"/>
      <c r="AQ111" s="311"/>
      <c r="AR111" s="315"/>
      <c r="AS111" s="316"/>
      <c r="AT111" s="317"/>
      <c r="AU111" s="299">
        <f>IF(INDEX(Таблицы!AA398:AA462,Таблицы!Y429,1)="",0,INDEX(Таблицы!AA398:AA462,Таблицы!Y429,1))</f>
        <v>0</v>
      </c>
      <c r="AV111" s="299"/>
      <c r="AW111" s="299"/>
      <c r="AX111" s="301">
        <f>IF(BL39&lt;30,AU111*3,IF(BL39&lt;126,AU111*2+AU111*(100-BL39)/100,AU111*(BL39-100)/100))</f>
        <v>0</v>
      </c>
      <c r="AY111" s="302"/>
      <c r="AZ111" s="303"/>
      <c r="BA111" s="299">
        <f>IF(INDEX(Таблицы!AB398:AB462,Таблицы!Y429,1)="",0,INDEX(Таблицы!AB398:AB462,Таблицы!Y429,1))*AR111</f>
        <v>0</v>
      </c>
      <c r="BB111" s="299"/>
      <c r="BC111" s="299"/>
      <c r="BD111" s="13"/>
      <c r="BE111" s="261"/>
      <c r="BF111" s="261"/>
      <c r="BG111" s="261"/>
      <c r="BH111" s="261"/>
      <c r="BI111" s="261"/>
      <c r="BJ111" s="261"/>
      <c r="BK111" s="261"/>
      <c r="BL111" s="261"/>
      <c r="BM111" s="261"/>
      <c r="BN111" s="261"/>
      <c r="BO111" s="261"/>
      <c r="BP111" s="261"/>
      <c r="BQ111" s="29"/>
    </row>
    <row r="112" spans="1:69" ht="7.5" customHeight="1">
      <c r="A112" s="19"/>
      <c r="B112" s="332"/>
      <c r="C112" s="333"/>
      <c r="D112" s="333"/>
      <c r="E112" s="333"/>
      <c r="F112" s="333"/>
      <c r="G112" s="333"/>
      <c r="H112" s="333"/>
      <c r="I112" s="333"/>
      <c r="J112" s="333"/>
      <c r="K112" s="333"/>
      <c r="L112" s="333"/>
      <c r="M112" s="333"/>
      <c r="N112" s="333"/>
      <c r="O112" s="333"/>
      <c r="P112" s="333"/>
      <c r="Q112" s="331"/>
      <c r="R112" s="331"/>
      <c r="S112" s="331"/>
      <c r="T112" s="300"/>
      <c r="U112" s="300"/>
      <c r="V112" s="300"/>
      <c r="W112" s="300"/>
      <c r="X112" s="300"/>
      <c r="Y112" s="300"/>
      <c r="Z112" s="300"/>
      <c r="AA112" s="300"/>
      <c r="AB112" s="300"/>
      <c r="AC112" s="307"/>
      <c r="AD112" s="309"/>
      <c r="AE112" s="310"/>
      <c r="AF112" s="310"/>
      <c r="AG112" s="310"/>
      <c r="AH112" s="310"/>
      <c r="AI112" s="310"/>
      <c r="AJ112" s="310"/>
      <c r="AK112" s="310"/>
      <c r="AL112" s="310"/>
      <c r="AM112" s="310"/>
      <c r="AN112" s="310"/>
      <c r="AO112" s="310"/>
      <c r="AP112" s="310"/>
      <c r="AQ112" s="311"/>
      <c r="AR112" s="315"/>
      <c r="AS112" s="316"/>
      <c r="AT112" s="317"/>
      <c r="AU112" s="300"/>
      <c r="AV112" s="300"/>
      <c r="AW112" s="300"/>
      <c r="AX112" s="301"/>
      <c r="AY112" s="302"/>
      <c r="AZ112" s="303"/>
      <c r="BA112" s="300"/>
      <c r="BB112" s="300"/>
      <c r="BC112" s="300"/>
      <c r="BD112" s="13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29"/>
    </row>
    <row r="113" spans="1:69" ht="7.5" customHeight="1" thickBot="1">
      <c r="A113" s="19"/>
      <c r="B113" s="332"/>
      <c r="C113" s="333"/>
      <c r="D113" s="333"/>
      <c r="E113" s="333"/>
      <c r="F113" s="333"/>
      <c r="G113" s="333"/>
      <c r="H113" s="333"/>
      <c r="I113" s="333"/>
      <c r="J113" s="333"/>
      <c r="K113" s="333"/>
      <c r="L113" s="333"/>
      <c r="M113" s="333"/>
      <c r="N113" s="333"/>
      <c r="O113" s="333"/>
      <c r="P113" s="333"/>
      <c r="Q113" s="331"/>
      <c r="R113" s="331"/>
      <c r="S113" s="331"/>
      <c r="T113" s="300"/>
      <c r="U113" s="300"/>
      <c r="V113" s="300"/>
      <c r="W113" s="300"/>
      <c r="X113" s="300"/>
      <c r="Y113" s="300"/>
      <c r="Z113" s="300"/>
      <c r="AA113" s="300"/>
      <c r="AB113" s="300"/>
      <c r="AC113" s="308"/>
      <c r="AD113" s="312"/>
      <c r="AE113" s="313"/>
      <c r="AF113" s="313"/>
      <c r="AG113" s="313"/>
      <c r="AH113" s="313"/>
      <c r="AI113" s="313"/>
      <c r="AJ113" s="313"/>
      <c r="AK113" s="313"/>
      <c r="AL113" s="313"/>
      <c r="AM113" s="313"/>
      <c r="AN113" s="313"/>
      <c r="AO113" s="313"/>
      <c r="AP113" s="313"/>
      <c r="AQ113" s="314"/>
      <c r="AR113" s="318"/>
      <c r="AS113" s="319"/>
      <c r="AT113" s="320"/>
      <c r="AU113" s="300"/>
      <c r="AV113" s="300"/>
      <c r="AW113" s="300"/>
      <c r="AX113" s="304"/>
      <c r="AY113" s="305"/>
      <c r="AZ113" s="306"/>
      <c r="BA113" s="300"/>
      <c r="BB113" s="300"/>
      <c r="BC113" s="300"/>
      <c r="BD113" s="13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29"/>
    </row>
    <row r="114" spans="1:69" ht="7.5" customHeight="1">
      <c r="A114" s="19"/>
      <c r="B114" s="332">
        <v>2</v>
      </c>
      <c r="C114" s="333"/>
      <c r="D114" s="333"/>
      <c r="E114" s="333"/>
      <c r="F114" s="333"/>
      <c r="G114" s="333"/>
      <c r="H114" s="333"/>
      <c r="I114" s="333"/>
      <c r="J114" s="333"/>
      <c r="K114" s="333"/>
      <c r="L114" s="333"/>
      <c r="M114" s="333"/>
      <c r="N114" s="333"/>
      <c r="O114" s="333"/>
      <c r="P114" s="333"/>
      <c r="Q114" s="331"/>
      <c r="R114" s="331"/>
      <c r="S114" s="331"/>
      <c r="T114" s="299">
        <f>IF(INDEX(Таблицы!AA398:AA462,Таблицы!Y423,1)="",0,INDEX(Таблицы!AA398:AA462,Таблицы!Y423,1))</f>
        <v>0</v>
      </c>
      <c r="U114" s="299"/>
      <c r="V114" s="299"/>
      <c r="W114" s="300">
        <f>IF(AK39&lt;30,T114*3,IF(AK39&lt;126,T114*2+T114*(100-AK39)/100,T114*(AK39-100)/100))</f>
        <v>0</v>
      </c>
      <c r="X114" s="300"/>
      <c r="Y114" s="300"/>
      <c r="Z114" s="299">
        <f>IF(INDEX(Таблицы!AB398:AB462,Таблицы!Y423,1)="",0,INDEX(Таблицы!AB398:AB462,Таблицы!Y423,1))*Q114</f>
        <v>0</v>
      </c>
      <c r="AA114" s="299"/>
      <c r="AB114" s="299"/>
      <c r="AC114" s="273">
        <v>9</v>
      </c>
      <c r="AD114" s="272"/>
      <c r="AE114" s="272"/>
      <c r="AF114" s="272"/>
      <c r="AG114" s="272"/>
      <c r="AH114" s="272"/>
      <c r="AI114" s="272"/>
      <c r="AJ114" s="272"/>
      <c r="AK114" s="272"/>
      <c r="AL114" s="272"/>
      <c r="AM114" s="272"/>
      <c r="AN114" s="272"/>
      <c r="AO114" s="272"/>
      <c r="AP114" s="272"/>
      <c r="AQ114" s="272"/>
      <c r="AR114" s="274"/>
      <c r="AS114" s="274"/>
      <c r="AT114" s="274"/>
      <c r="AU114" s="274"/>
      <c r="AV114" s="274"/>
      <c r="AW114" s="274"/>
      <c r="AX114" s="298">
        <f>IF(BL39&lt;30,AU114*3,IF(BL39&lt;126,AU114*2+AU114*(100-BL39)/100,AU114*(BL39-100)/100))</f>
        <v>0</v>
      </c>
      <c r="AY114" s="298"/>
      <c r="AZ114" s="298"/>
      <c r="BA114" s="274"/>
      <c r="BB114" s="274"/>
      <c r="BC114" s="274"/>
      <c r="BD114" s="13"/>
      <c r="BE114" s="321" t="s">
        <v>326</v>
      </c>
      <c r="BF114" s="322"/>
      <c r="BG114" s="322"/>
      <c r="BH114" s="322"/>
      <c r="BI114" s="322"/>
      <c r="BJ114" s="322"/>
      <c r="BK114" s="322"/>
      <c r="BL114" s="322"/>
      <c r="BM114" s="322"/>
      <c r="BN114" s="322"/>
      <c r="BO114" s="322"/>
      <c r="BP114" s="323"/>
      <c r="BQ114" s="29"/>
    </row>
    <row r="115" spans="1:69" ht="7.5" customHeight="1" thickBot="1">
      <c r="A115" s="19"/>
      <c r="B115" s="332"/>
      <c r="C115" s="333"/>
      <c r="D115" s="333"/>
      <c r="E115" s="333"/>
      <c r="F115" s="333"/>
      <c r="G115" s="333"/>
      <c r="H115" s="333"/>
      <c r="I115" s="333"/>
      <c r="J115" s="333"/>
      <c r="K115" s="333"/>
      <c r="L115" s="333"/>
      <c r="M115" s="333"/>
      <c r="N115" s="333"/>
      <c r="O115" s="333"/>
      <c r="P115" s="333"/>
      <c r="Q115" s="331"/>
      <c r="R115" s="331"/>
      <c r="S115" s="331"/>
      <c r="T115" s="300"/>
      <c r="U115" s="300"/>
      <c r="V115" s="300"/>
      <c r="W115" s="300"/>
      <c r="X115" s="300"/>
      <c r="Y115" s="300"/>
      <c r="Z115" s="300"/>
      <c r="AA115" s="300"/>
      <c r="AB115" s="300"/>
      <c r="AC115" s="273"/>
      <c r="AD115" s="272"/>
      <c r="AE115" s="272"/>
      <c r="AF115" s="272"/>
      <c r="AG115" s="272"/>
      <c r="AH115" s="272"/>
      <c r="AI115" s="272"/>
      <c r="AJ115" s="272"/>
      <c r="AK115" s="272"/>
      <c r="AL115" s="272"/>
      <c r="AM115" s="272"/>
      <c r="AN115" s="272"/>
      <c r="AO115" s="272"/>
      <c r="AP115" s="272"/>
      <c r="AQ115" s="272"/>
      <c r="AR115" s="274"/>
      <c r="AS115" s="274"/>
      <c r="AT115" s="274"/>
      <c r="AU115" s="274"/>
      <c r="AV115" s="274"/>
      <c r="AW115" s="274"/>
      <c r="AX115" s="298"/>
      <c r="AY115" s="298"/>
      <c r="AZ115" s="298"/>
      <c r="BA115" s="274"/>
      <c r="BB115" s="274"/>
      <c r="BC115" s="274"/>
      <c r="BD115" s="13"/>
      <c r="BE115" s="324"/>
      <c r="BF115" s="325"/>
      <c r="BG115" s="325"/>
      <c r="BH115" s="325"/>
      <c r="BI115" s="325"/>
      <c r="BJ115" s="325"/>
      <c r="BK115" s="325"/>
      <c r="BL115" s="325"/>
      <c r="BM115" s="325"/>
      <c r="BN115" s="325"/>
      <c r="BO115" s="325"/>
      <c r="BP115" s="326"/>
      <c r="BQ115" s="29"/>
    </row>
    <row r="116" spans="1:69" ht="7.5" customHeight="1">
      <c r="A116" s="19"/>
      <c r="B116" s="332"/>
      <c r="C116" s="333"/>
      <c r="D116" s="333"/>
      <c r="E116" s="333"/>
      <c r="F116" s="333"/>
      <c r="G116" s="333"/>
      <c r="H116" s="333"/>
      <c r="I116" s="333"/>
      <c r="J116" s="333"/>
      <c r="K116" s="333"/>
      <c r="L116" s="333"/>
      <c r="M116" s="333"/>
      <c r="N116" s="333"/>
      <c r="O116" s="333"/>
      <c r="P116" s="333"/>
      <c r="Q116" s="331"/>
      <c r="R116" s="331"/>
      <c r="S116" s="331"/>
      <c r="T116" s="300"/>
      <c r="U116" s="300"/>
      <c r="V116" s="300"/>
      <c r="W116" s="300"/>
      <c r="X116" s="300"/>
      <c r="Y116" s="300"/>
      <c r="Z116" s="300"/>
      <c r="AA116" s="300"/>
      <c r="AB116" s="300"/>
      <c r="AC116" s="273">
        <v>10</v>
      </c>
      <c r="AD116" s="272"/>
      <c r="AE116" s="272"/>
      <c r="AF116" s="272"/>
      <c r="AG116" s="272"/>
      <c r="AH116" s="272"/>
      <c r="AI116" s="272"/>
      <c r="AJ116" s="272"/>
      <c r="AK116" s="272"/>
      <c r="AL116" s="272"/>
      <c r="AM116" s="272"/>
      <c r="AN116" s="272"/>
      <c r="AO116" s="272"/>
      <c r="AP116" s="272"/>
      <c r="AQ116" s="272"/>
      <c r="AR116" s="274"/>
      <c r="AS116" s="274"/>
      <c r="AT116" s="274"/>
      <c r="AU116" s="274"/>
      <c r="AV116" s="274"/>
      <c r="AW116" s="274"/>
      <c r="AX116" s="298">
        <f>IF(BL39&lt;30,AU116*3,IF(BL39&lt;126,AU116*2+AU116*(100-BL39)/100,AU116*(BL39-100)/100))</f>
        <v>0</v>
      </c>
      <c r="AY116" s="298"/>
      <c r="AZ116" s="298"/>
      <c r="BA116" s="274"/>
      <c r="BB116" s="274"/>
      <c r="BC116" s="274"/>
      <c r="BD116" s="13"/>
      <c r="BE116" s="261"/>
      <c r="BF116" s="261"/>
      <c r="BG116" s="261"/>
      <c r="BH116" s="261"/>
      <c r="BI116" s="261"/>
      <c r="BJ116" s="261"/>
      <c r="BK116" s="261"/>
      <c r="BL116" s="261"/>
      <c r="BM116" s="261"/>
      <c r="BN116" s="261"/>
      <c r="BO116" s="261"/>
      <c r="BP116" s="261"/>
      <c r="BQ116" s="29"/>
    </row>
    <row r="117" spans="1:69" ht="7.5" customHeight="1">
      <c r="A117" s="19"/>
      <c r="B117" s="332">
        <v>3</v>
      </c>
      <c r="C117" s="333"/>
      <c r="D117" s="333"/>
      <c r="E117" s="333"/>
      <c r="F117" s="333"/>
      <c r="G117" s="333"/>
      <c r="H117" s="333"/>
      <c r="I117" s="333"/>
      <c r="J117" s="333"/>
      <c r="K117" s="333"/>
      <c r="L117" s="333"/>
      <c r="M117" s="333"/>
      <c r="N117" s="333"/>
      <c r="O117" s="333"/>
      <c r="P117" s="333"/>
      <c r="Q117" s="331"/>
      <c r="R117" s="331"/>
      <c r="S117" s="331"/>
      <c r="T117" s="299">
        <f>IF(INDEX(Таблицы!AA398:AA462,Таблицы!Y424,1)="",0,INDEX(Таблицы!AA398:AA462,Таблицы!Y424,1))</f>
        <v>0</v>
      </c>
      <c r="U117" s="299"/>
      <c r="V117" s="299"/>
      <c r="W117" s="300">
        <f>IF(AK39&lt;30,T117*3,IF(AK39&lt;126,T117*2+T117*(100-AK39)/100,T117*(AK39-100)/100))</f>
        <v>0</v>
      </c>
      <c r="X117" s="300"/>
      <c r="Y117" s="300"/>
      <c r="Z117" s="299">
        <f>IF(INDEX(Таблицы!AB398:AB462,Таблицы!Y424,1)="",0,INDEX(Таблицы!AB398:AB462,Таблицы!Y424,1))*Q117</f>
        <v>0</v>
      </c>
      <c r="AA117" s="299"/>
      <c r="AB117" s="299"/>
      <c r="AC117" s="273"/>
      <c r="AD117" s="272"/>
      <c r="AE117" s="272"/>
      <c r="AF117" s="272"/>
      <c r="AG117" s="272"/>
      <c r="AH117" s="272"/>
      <c r="AI117" s="272"/>
      <c r="AJ117" s="272"/>
      <c r="AK117" s="272"/>
      <c r="AL117" s="272"/>
      <c r="AM117" s="272"/>
      <c r="AN117" s="272"/>
      <c r="AO117" s="272"/>
      <c r="AP117" s="272"/>
      <c r="AQ117" s="272"/>
      <c r="AR117" s="274"/>
      <c r="AS117" s="274"/>
      <c r="AT117" s="274"/>
      <c r="AU117" s="274"/>
      <c r="AV117" s="274"/>
      <c r="AW117" s="274"/>
      <c r="AX117" s="298"/>
      <c r="AY117" s="298"/>
      <c r="AZ117" s="298"/>
      <c r="BA117" s="274"/>
      <c r="BB117" s="274"/>
      <c r="BC117" s="274"/>
      <c r="BD117" s="13"/>
      <c r="BE117" s="261"/>
      <c r="BF117" s="261"/>
      <c r="BG117" s="261"/>
      <c r="BH117" s="261"/>
      <c r="BI117" s="261"/>
      <c r="BJ117" s="261"/>
      <c r="BK117" s="261"/>
      <c r="BL117" s="261"/>
      <c r="BM117" s="261"/>
      <c r="BN117" s="261"/>
      <c r="BO117" s="261"/>
      <c r="BP117" s="261"/>
      <c r="BQ117" s="29"/>
    </row>
    <row r="118" spans="1:69" ht="7.5" customHeight="1">
      <c r="A118" s="19"/>
      <c r="B118" s="332"/>
      <c r="C118" s="333"/>
      <c r="D118" s="333"/>
      <c r="E118" s="333"/>
      <c r="F118" s="333"/>
      <c r="G118" s="333"/>
      <c r="H118" s="333"/>
      <c r="I118" s="333"/>
      <c r="J118" s="333"/>
      <c r="K118" s="333"/>
      <c r="L118" s="333"/>
      <c r="M118" s="333"/>
      <c r="N118" s="333"/>
      <c r="O118" s="333"/>
      <c r="P118" s="333"/>
      <c r="Q118" s="331"/>
      <c r="R118" s="331"/>
      <c r="S118" s="331"/>
      <c r="T118" s="300"/>
      <c r="U118" s="300"/>
      <c r="V118" s="300"/>
      <c r="W118" s="300"/>
      <c r="X118" s="300"/>
      <c r="Y118" s="300"/>
      <c r="Z118" s="300"/>
      <c r="AA118" s="300"/>
      <c r="AB118" s="300"/>
      <c r="AC118" s="273">
        <v>11</v>
      </c>
      <c r="AD118" s="272"/>
      <c r="AE118" s="272"/>
      <c r="AF118" s="272"/>
      <c r="AG118" s="272"/>
      <c r="AH118" s="272"/>
      <c r="AI118" s="272"/>
      <c r="AJ118" s="272"/>
      <c r="AK118" s="272"/>
      <c r="AL118" s="272"/>
      <c r="AM118" s="272"/>
      <c r="AN118" s="272"/>
      <c r="AO118" s="272"/>
      <c r="AP118" s="272"/>
      <c r="AQ118" s="272"/>
      <c r="AR118" s="274"/>
      <c r="AS118" s="274"/>
      <c r="AT118" s="274"/>
      <c r="AU118" s="274"/>
      <c r="AV118" s="274"/>
      <c r="AW118" s="274"/>
      <c r="AX118" s="298">
        <f>IF(BL39&lt;30,AU118*3,IF(BL39&lt;126,AU118*2+AU118*(100-BL39)/100,AU118*(BL39-100)/100))</f>
        <v>0</v>
      </c>
      <c r="AY118" s="298"/>
      <c r="AZ118" s="298"/>
      <c r="BA118" s="274"/>
      <c r="BB118" s="274"/>
      <c r="BC118" s="274"/>
      <c r="BD118" s="13"/>
      <c r="BE118" s="261"/>
      <c r="BF118" s="261"/>
      <c r="BG118" s="261"/>
      <c r="BH118" s="261"/>
      <c r="BI118" s="261"/>
      <c r="BJ118" s="261"/>
      <c r="BK118" s="261"/>
      <c r="BL118" s="261"/>
      <c r="BM118" s="261"/>
      <c r="BN118" s="261"/>
      <c r="BO118" s="261"/>
      <c r="BP118" s="261"/>
      <c r="BQ118" s="29"/>
    </row>
    <row r="119" spans="1:69" ht="7.5" customHeight="1">
      <c r="A119" s="19"/>
      <c r="B119" s="332"/>
      <c r="C119" s="333"/>
      <c r="D119" s="333"/>
      <c r="E119" s="333"/>
      <c r="F119" s="333"/>
      <c r="G119" s="333"/>
      <c r="H119" s="333"/>
      <c r="I119" s="333"/>
      <c r="J119" s="333"/>
      <c r="K119" s="333"/>
      <c r="L119" s="333"/>
      <c r="M119" s="333"/>
      <c r="N119" s="333"/>
      <c r="O119" s="333"/>
      <c r="P119" s="333"/>
      <c r="Q119" s="331"/>
      <c r="R119" s="331"/>
      <c r="S119" s="331"/>
      <c r="T119" s="300"/>
      <c r="U119" s="300"/>
      <c r="V119" s="300"/>
      <c r="W119" s="300"/>
      <c r="X119" s="300"/>
      <c r="Y119" s="300"/>
      <c r="Z119" s="300"/>
      <c r="AA119" s="300"/>
      <c r="AB119" s="300"/>
      <c r="AC119" s="273"/>
      <c r="AD119" s="272"/>
      <c r="AE119" s="272"/>
      <c r="AF119" s="272"/>
      <c r="AG119" s="272"/>
      <c r="AH119" s="272"/>
      <c r="AI119" s="272"/>
      <c r="AJ119" s="272"/>
      <c r="AK119" s="272"/>
      <c r="AL119" s="272"/>
      <c r="AM119" s="272"/>
      <c r="AN119" s="272"/>
      <c r="AO119" s="272"/>
      <c r="AP119" s="272"/>
      <c r="AQ119" s="272"/>
      <c r="AR119" s="274"/>
      <c r="AS119" s="274"/>
      <c r="AT119" s="274"/>
      <c r="AU119" s="274"/>
      <c r="AV119" s="274"/>
      <c r="AW119" s="274"/>
      <c r="AX119" s="298"/>
      <c r="AY119" s="298"/>
      <c r="AZ119" s="298"/>
      <c r="BA119" s="274"/>
      <c r="BB119" s="274"/>
      <c r="BC119" s="274"/>
      <c r="BD119" s="13"/>
      <c r="BE119" s="261"/>
      <c r="BF119" s="261"/>
      <c r="BG119" s="261"/>
      <c r="BH119" s="261"/>
      <c r="BI119" s="261"/>
      <c r="BJ119" s="261"/>
      <c r="BK119" s="261"/>
      <c r="BL119" s="261"/>
      <c r="BM119" s="261"/>
      <c r="BN119" s="261"/>
      <c r="BO119" s="261"/>
      <c r="BP119" s="261"/>
      <c r="BQ119" s="29"/>
    </row>
    <row r="120" spans="1:69" ht="7.5" customHeight="1">
      <c r="A120" s="19"/>
      <c r="B120" s="332">
        <v>4</v>
      </c>
      <c r="C120" s="333"/>
      <c r="D120" s="333"/>
      <c r="E120" s="333"/>
      <c r="F120" s="333"/>
      <c r="G120" s="333"/>
      <c r="H120" s="333"/>
      <c r="I120" s="333"/>
      <c r="J120" s="333"/>
      <c r="K120" s="333"/>
      <c r="L120" s="333"/>
      <c r="M120" s="333"/>
      <c r="N120" s="333"/>
      <c r="O120" s="333"/>
      <c r="P120" s="333"/>
      <c r="Q120" s="331"/>
      <c r="R120" s="331"/>
      <c r="S120" s="331"/>
      <c r="T120" s="299">
        <f>IF(INDEX(Таблицы!AA398:AA462,Таблицы!Y425,1)="",0,INDEX(Таблицы!AA398:AA462,Таблицы!Y425,1))</f>
        <v>0</v>
      </c>
      <c r="U120" s="299"/>
      <c r="V120" s="299"/>
      <c r="W120" s="300">
        <f>IF(AK39&lt;30,T120*3,IF(AK39&lt;126,T120*2+T120*(100-AK39)/100,T120*(AK39-100)/100))</f>
        <v>0</v>
      </c>
      <c r="X120" s="300"/>
      <c r="Y120" s="300"/>
      <c r="Z120" s="299">
        <f>IF(INDEX(Таблицы!AB398:AB462,Таблицы!Y425,1)="",0,INDEX(Таблицы!AB398:AB462,Таблицы!Y425,1))*Q120</f>
        <v>0</v>
      </c>
      <c r="AA120" s="299"/>
      <c r="AB120" s="299"/>
      <c r="AC120" s="273">
        <v>12</v>
      </c>
      <c r="AD120" s="272"/>
      <c r="AE120" s="272"/>
      <c r="AF120" s="272"/>
      <c r="AG120" s="272"/>
      <c r="AH120" s="272"/>
      <c r="AI120" s="272"/>
      <c r="AJ120" s="272"/>
      <c r="AK120" s="272"/>
      <c r="AL120" s="272"/>
      <c r="AM120" s="272"/>
      <c r="AN120" s="272"/>
      <c r="AO120" s="272"/>
      <c r="AP120" s="272"/>
      <c r="AQ120" s="272"/>
      <c r="AR120" s="274"/>
      <c r="AS120" s="274"/>
      <c r="AT120" s="274"/>
      <c r="AU120" s="274"/>
      <c r="AV120" s="274"/>
      <c r="AW120" s="274"/>
      <c r="AX120" s="298">
        <f>IF(BL39&lt;30,AU120*3,IF(BL39&lt;126,AU120*2+AU120*(100-BL39)/100,AU120*(BL39-100)/100))</f>
        <v>0</v>
      </c>
      <c r="AY120" s="298"/>
      <c r="AZ120" s="298"/>
      <c r="BA120" s="274"/>
      <c r="BB120" s="274"/>
      <c r="BC120" s="274"/>
      <c r="BD120" s="13"/>
      <c r="BE120" s="261"/>
      <c r="BF120" s="261"/>
      <c r="BG120" s="261"/>
      <c r="BH120" s="261"/>
      <c r="BI120" s="261"/>
      <c r="BJ120" s="261"/>
      <c r="BK120" s="261"/>
      <c r="BL120" s="261"/>
      <c r="BM120" s="261"/>
      <c r="BN120" s="261"/>
      <c r="BO120" s="261"/>
      <c r="BP120" s="261"/>
      <c r="BQ120" s="29"/>
    </row>
    <row r="121" spans="1:69" ht="7.5" customHeight="1">
      <c r="A121" s="19"/>
      <c r="B121" s="332"/>
      <c r="C121" s="333"/>
      <c r="D121" s="333"/>
      <c r="E121" s="333"/>
      <c r="F121" s="333"/>
      <c r="G121" s="333"/>
      <c r="H121" s="333"/>
      <c r="I121" s="333"/>
      <c r="J121" s="333"/>
      <c r="K121" s="333"/>
      <c r="L121" s="333"/>
      <c r="M121" s="333"/>
      <c r="N121" s="333"/>
      <c r="O121" s="333"/>
      <c r="P121" s="333"/>
      <c r="Q121" s="331"/>
      <c r="R121" s="331"/>
      <c r="S121" s="331"/>
      <c r="T121" s="300"/>
      <c r="U121" s="300"/>
      <c r="V121" s="300"/>
      <c r="W121" s="300"/>
      <c r="X121" s="300"/>
      <c r="Y121" s="300"/>
      <c r="Z121" s="300"/>
      <c r="AA121" s="300"/>
      <c r="AB121" s="300"/>
      <c r="AC121" s="273"/>
      <c r="AD121" s="272"/>
      <c r="AE121" s="272"/>
      <c r="AF121" s="272"/>
      <c r="AG121" s="272"/>
      <c r="AH121" s="272"/>
      <c r="AI121" s="272"/>
      <c r="AJ121" s="272"/>
      <c r="AK121" s="272"/>
      <c r="AL121" s="272"/>
      <c r="AM121" s="272"/>
      <c r="AN121" s="272"/>
      <c r="AO121" s="272"/>
      <c r="AP121" s="272"/>
      <c r="AQ121" s="272"/>
      <c r="AR121" s="274"/>
      <c r="AS121" s="274"/>
      <c r="AT121" s="274"/>
      <c r="AU121" s="274"/>
      <c r="AV121" s="274"/>
      <c r="AW121" s="274"/>
      <c r="AX121" s="298"/>
      <c r="AY121" s="298"/>
      <c r="AZ121" s="298"/>
      <c r="BA121" s="274"/>
      <c r="BB121" s="274"/>
      <c r="BC121" s="274"/>
      <c r="BD121" s="13"/>
      <c r="BE121" s="261"/>
      <c r="BF121" s="261"/>
      <c r="BG121" s="261"/>
      <c r="BH121" s="261"/>
      <c r="BI121" s="261"/>
      <c r="BJ121" s="261"/>
      <c r="BK121" s="261"/>
      <c r="BL121" s="261"/>
      <c r="BM121" s="261"/>
      <c r="BN121" s="261"/>
      <c r="BO121" s="261"/>
      <c r="BP121" s="261"/>
      <c r="BQ121" s="29"/>
    </row>
    <row r="122" spans="1:69" ht="7.5" customHeight="1">
      <c r="A122" s="19"/>
      <c r="B122" s="332"/>
      <c r="C122" s="333"/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1"/>
      <c r="R122" s="331"/>
      <c r="S122" s="331"/>
      <c r="T122" s="300"/>
      <c r="U122" s="300"/>
      <c r="V122" s="300"/>
      <c r="W122" s="300"/>
      <c r="X122" s="300"/>
      <c r="Y122" s="300"/>
      <c r="Z122" s="300"/>
      <c r="AA122" s="300"/>
      <c r="AB122" s="300"/>
      <c r="AC122" s="273">
        <v>13</v>
      </c>
      <c r="AD122" s="272"/>
      <c r="AE122" s="272"/>
      <c r="AF122" s="272"/>
      <c r="AG122" s="272"/>
      <c r="AH122" s="272"/>
      <c r="AI122" s="272"/>
      <c r="AJ122" s="272"/>
      <c r="AK122" s="272"/>
      <c r="AL122" s="272"/>
      <c r="AM122" s="272"/>
      <c r="AN122" s="272"/>
      <c r="AO122" s="272"/>
      <c r="AP122" s="272"/>
      <c r="AQ122" s="272"/>
      <c r="AR122" s="274"/>
      <c r="AS122" s="274"/>
      <c r="AT122" s="274"/>
      <c r="AU122" s="274"/>
      <c r="AV122" s="274"/>
      <c r="AW122" s="274"/>
      <c r="AX122" s="298">
        <f>IF(BL39&lt;30,AU122*3,IF(BL39&lt;126,AU122*2+AU122*(100-BL39)/100,AU122*(BL39-100)/100))</f>
        <v>0</v>
      </c>
      <c r="AY122" s="298"/>
      <c r="AZ122" s="298"/>
      <c r="BA122" s="274"/>
      <c r="BB122" s="274"/>
      <c r="BC122" s="274"/>
      <c r="BD122" s="13"/>
      <c r="BE122" s="261"/>
      <c r="BF122" s="261"/>
      <c r="BG122" s="261"/>
      <c r="BH122" s="261"/>
      <c r="BI122" s="261"/>
      <c r="BJ122" s="261"/>
      <c r="BK122" s="261"/>
      <c r="BL122" s="261"/>
      <c r="BM122" s="261"/>
      <c r="BN122" s="261"/>
      <c r="BO122" s="261"/>
      <c r="BP122" s="261"/>
      <c r="BQ122" s="29"/>
    </row>
    <row r="123" spans="1:69" ht="7.5" customHeight="1">
      <c r="A123" s="19"/>
      <c r="B123" s="332">
        <v>5</v>
      </c>
      <c r="C123" s="333"/>
      <c r="D123" s="333"/>
      <c r="E123" s="333"/>
      <c r="F123" s="333"/>
      <c r="G123" s="333"/>
      <c r="H123" s="333"/>
      <c r="I123" s="333"/>
      <c r="J123" s="333"/>
      <c r="K123" s="333"/>
      <c r="L123" s="333"/>
      <c r="M123" s="333"/>
      <c r="N123" s="333"/>
      <c r="O123" s="333"/>
      <c r="P123" s="333"/>
      <c r="Q123" s="331"/>
      <c r="R123" s="331"/>
      <c r="S123" s="331"/>
      <c r="T123" s="299">
        <f>IF(INDEX(Таблицы!AA398:AA462,Таблицы!Y426,1)="",0,INDEX(Таблицы!AA398:AA462,Таблицы!Y426,1))</f>
        <v>0</v>
      </c>
      <c r="U123" s="299"/>
      <c r="V123" s="299"/>
      <c r="W123" s="300">
        <f>IF(AK39&lt;30,T123*3,IF(AK39&lt;126,T123*2+T123*(100-AK39)/100,T123*(AK39-100)/100))</f>
        <v>0</v>
      </c>
      <c r="X123" s="300"/>
      <c r="Y123" s="300"/>
      <c r="Z123" s="299">
        <f>IF(INDEX(Таблицы!AB398:AB462,Таблицы!Y426,1)="",0,INDEX(Таблицы!AB398:AB462,Таблицы!Y426,1))*Q123</f>
        <v>0</v>
      </c>
      <c r="AA123" s="299"/>
      <c r="AB123" s="299"/>
      <c r="AC123" s="273"/>
      <c r="AD123" s="272"/>
      <c r="AE123" s="272"/>
      <c r="AF123" s="272"/>
      <c r="AG123" s="272"/>
      <c r="AH123" s="272"/>
      <c r="AI123" s="272"/>
      <c r="AJ123" s="272"/>
      <c r="AK123" s="272"/>
      <c r="AL123" s="272"/>
      <c r="AM123" s="272"/>
      <c r="AN123" s="272"/>
      <c r="AO123" s="272"/>
      <c r="AP123" s="272"/>
      <c r="AQ123" s="272"/>
      <c r="AR123" s="274"/>
      <c r="AS123" s="274"/>
      <c r="AT123" s="274"/>
      <c r="AU123" s="274"/>
      <c r="AV123" s="274"/>
      <c r="AW123" s="274"/>
      <c r="AX123" s="298"/>
      <c r="AY123" s="298"/>
      <c r="AZ123" s="298"/>
      <c r="BA123" s="274"/>
      <c r="BB123" s="274"/>
      <c r="BC123" s="274"/>
      <c r="BD123" s="13"/>
      <c r="BE123" s="261"/>
      <c r="BF123" s="261"/>
      <c r="BG123" s="261"/>
      <c r="BH123" s="261"/>
      <c r="BI123" s="261"/>
      <c r="BJ123" s="261"/>
      <c r="BK123" s="261"/>
      <c r="BL123" s="261"/>
      <c r="BM123" s="261"/>
      <c r="BN123" s="261"/>
      <c r="BO123" s="261"/>
      <c r="BP123" s="261"/>
      <c r="BQ123" s="29"/>
    </row>
    <row r="124" spans="1:69" ht="7.5" customHeight="1">
      <c r="A124" s="19"/>
      <c r="B124" s="332"/>
      <c r="C124" s="333"/>
      <c r="D124" s="333"/>
      <c r="E124" s="333"/>
      <c r="F124" s="333"/>
      <c r="G124" s="333"/>
      <c r="H124" s="333"/>
      <c r="I124" s="333"/>
      <c r="J124" s="333"/>
      <c r="K124" s="333"/>
      <c r="L124" s="333"/>
      <c r="M124" s="333"/>
      <c r="N124" s="333"/>
      <c r="O124" s="333"/>
      <c r="P124" s="333"/>
      <c r="Q124" s="331"/>
      <c r="R124" s="331"/>
      <c r="S124" s="331"/>
      <c r="T124" s="300"/>
      <c r="U124" s="300"/>
      <c r="V124" s="300"/>
      <c r="W124" s="300"/>
      <c r="X124" s="300"/>
      <c r="Y124" s="300"/>
      <c r="Z124" s="300"/>
      <c r="AA124" s="300"/>
      <c r="AB124" s="300"/>
      <c r="AC124" s="273">
        <v>14</v>
      </c>
      <c r="AD124" s="272"/>
      <c r="AE124" s="272"/>
      <c r="AF124" s="272"/>
      <c r="AG124" s="272"/>
      <c r="AH124" s="272"/>
      <c r="AI124" s="272"/>
      <c r="AJ124" s="272"/>
      <c r="AK124" s="272"/>
      <c r="AL124" s="272"/>
      <c r="AM124" s="272"/>
      <c r="AN124" s="272"/>
      <c r="AO124" s="272"/>
      <c r="AP124" s="272"/>
      <c r="AQ124" s="272"/>
      <c r="AR124" s="274"/>
      <c r="AS124" s="274"/>
      <c r="AT124" s="274"/>
      <c r="AU124" s="274"/>
      <c r="AV124" s="274"/>
      <c r="AW124" s="274"/>
      <c r="AX124" s="298">
        <f>IF(BL39&lt;30,AU124*3,IF(BL39&lt;126,AU124*2+AU124*(100-BL39)/100,AU124*(BL39-100)/100))</f>
        <v>0</v>
      </c>
      <c r="AY124" s="298"/>
      <c r="AZ124" s="298"/>
      <c r="BA124" s="274"/>
      <c r="BB124" s="274"/>
      <c r="BC124" s="274"/>
      <c r="BD124" s="13"/>
      <c r="BE124" s="261"/>
      <c r="BF124" s="261"/>
      <c r="BG124" s="261"/>
      <c r="BH124" s="261"/>
      <c r="BI124" s="261"/>
      <c r="BJ124" s="261"/>
      <c r="BK124" s="261"/>
      <c r="BL124" s="261"/>
      <c r="BM124" s="261"/>
      <c r="BN124" s="261"/>
      <c r="BO124" s="261"/>
      <c r="BP124" s="261"/>
      <c r="BQ124" s="29"/>
    </row>
    <row r="125" spans="1:69" ht="7.5" customHeight="1">
      <c r="A125" s="19"/>
      <c r="B125" s="332"/>
      <c r="C125" s="333"/>
      <c r="D125" s="333"/>
      <c r="E125" s="333"/>
      <c r="F125" s="333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1"/>
      <c r="R125" s="331"/>
      <c r="S125" s="331"/>
      <c r="T125" s="300"/>
      <c r="U125" s="300"/>
      <c r="V125" s="300"/>
      <c r="W125" s="300"/>
      <c r="X125" s="300"/>
      <c r="Y125" s="300"/>
      <c r="Z125" s="300"/>
      <c r="AA125" s="300"/>
      <c r="AB125" s="300"/>
      <c r="AC125" s="273"/>
      <c r="AD125" s="272"/>
      <c r="AE125" s="272"/>
      <c r="AF125" s="272"/>
      <c r="AG125" s="272"/>
      <c r="AH125" s="272"/>
      <c r="AI125" s="272"/>
      <c r="AJ125" s="272"/>
      <c r="AK125" s="272"/>
      <c r="AL125" s="272"/>
      <c r="AM125" s="272"/>
      <c r="AN125" s="272"/>
      <c r="AO125" s="272"/>
      <c r="AP125" s="272"/>
      <c r="AQ125" s="272"/>
      <c r="AR125" s="274"/>
      <c r="AS125" s="274"/>
      <c r="AT125" s="274"/>
      <c r="AU125" s="274"/>
      <c r="AV125" s="274"/>
      <c r="AW125" s="274"/>
      <c r="AX125" s="298"/>
      <c r="AY125" s="298"/>
      <c r="AZ125" s="298"/>
      <c r="BA125" s="274"/>
      <c r="BB125" s="274"/>
      <c r="BC125" s="274"/>
      <c r="BD125" s="13"/>
      <c r="BE125" s="261"/>
      <c r="BF125" s="261"/>
      <c r="BG125" s="261"/>
      <c r="BH125" s="261"/>
      <c r="BI125" s="261"/>
      <c r="BJ125" s="261"/>
      <c r="BK125" s="261"/>
      <c r="BL125" s="261"/>
      <c r="BM125" s="261"/>
      <c r="BN125" s="261"/>
      <c r="BO125" s="261"/>
      <c r="BP125" s="261"/>
      <c r="BQ125" s="29"/>
    </row>
    <row r="126" spans="1:69" ht="7.5" customHeight="1">
      <c r="A126" s="19"/>
      <c r="B126" s="332">
        <v>6</v>
      </c>
      <c r="C126" s="333"/>
      <c r="D126" s="333"/>
      <c r="E126" s="333"/>
      <c r="F126" s="333"/>
      <c r="G126" s="333"/>
      <c r="H126" s="333"/>
      <c r="I126" s="333"/>
      <c r="J126" s="333"/>
      <c r="K126" s="333"/>
      <c r="L126" s="333"/>
      <c r="M126" s="333"/>
      <c r="N126" s="333"/>
      <c r="O126" s="333"/>
      <c r="P126" s="333"/>
      <c r="Q126" s="331"/>
      <c r="R126" s="331"/>
      <c r="S126" s="331"/>
      <c r="T126" s="299">
        <f>IF(INDEX(Таблицы!AA398:AA462,Таблицы!Y427,1)="",0,INDEX(Таблицы!AA398:AA462,Таблицы!Y427,1))</f>
        <v>0</v>
      </c>
      <c r="U126" s="299"/>
      <c r="V126" s="299"/>
      <c r="W126" s="300">
        <f>IF(AK39&lt;30,T126*3,IF(AK39&lt;126,T126*2+T126*(100-AK39)/100,T126*(AK39-100)/100))</f>
        <v>0</v>
      </c>
      <c r="X126" s="300"/>
      <c r="Y126" s="300"/>
      <c r="Z126" s="299">
        <f>IF(INDEX(Таблицы!AB398:AB462,Таблицы!Y427,1)="",0,INDEX(Таблицы!AB398:AB462,Таблицы!Y427,1))*Q126</f>
        <v>0</v>
      </c>
      <c r="AA126" s="299"/>
      <c r="AB126" s="299"/>
      <c r="AC126" s="273">
        <v>15</v>
      </c>
      <c r="AD126" s="272"/>
      <c r="AE126" s="272"/>
      <c r="AF126" s="272"/>
      <c r="AG126" s="272"/>
      <c r="AH126" s="272"/>
      <c r="AI126" s="272"/>
      <c r="AJ126" s="272"/>
      <c r="AK126" s="272"/>
      <c r="AL126" s="272"/>
      <c r="AM126" s="272"/>
      <c r="AN126" s="272"/>
      <c r="AO126" s="272"/>
      <c r="AP126" s="272"/>
      <c r="AQ126" s="272"/>
      <c r="AR126" s="274"/>
      <c r="AS126" s="274"/>
      <c r="AT126" s="274"/>
      <c r="AU126" s="274"/>
      <c r="AV126" s="274"/>
      <c r="AW126" s="274"/>
      <c r="AX126" s="298">
        <f>IF(BL39&lt;30,AU126*3,IF(BL39&lt;126,AU126*2+AU126*(100-BL39)/100,AU126*(BL39-100)/100))</f>
        <v>0</v>
      </c>
      <c r="AY126" s="298"/>
      <c r="AZ126" s="298"/>
      <c r="BA126" s="274"/>
      <c r="BB126" s="274"/>
      <c r="BC126" s="274"/>
      <c r="BD126" s="13"/>
      <c r="BE126" s="261"/>
      <c r="BF126" s="261"/>
      <c r="BG126" s="261"/>
      <c r="BH126" s="261"/>
      <c r="BI126" s="261"/>
      <c r="BJ126" s="261"/>
      <c r="BK126" s="261"/>
      <c r="BL126" s="261"/>
      <c r="BM126" s="261"/>
      <c r="BN126" s="261"/>
      <c r="BO126" s="261"/>
      <c r="BP126" s="261"/>
      <c r="BQ126" s="29"/>
    </row>
    <row r="127" spans="1:69" ht="7.5" customHeight="1">
      <c r="A127" s="19"/>
      <c r="B127" s="332"/>
      <c r="C127" s="333"/>
      <c r="D127" s="333"/>
      <c r="E127" s="333"/>
      <c r="F127" s="333"/>
      <c r="G127" s="333"/>
      <c r="H127" s="333"/>
      <c r="I127" s="333"/>
      <c r="J127" s="333"/>
      <c r="K127" s="333"/>
      <c r="L127" s="333"/>
      <c r="M127" s="333"/>
      <c r="N127" s="333"/>
      <c r="O127" s="333"/>
      <c r="P127" s="333"/>
      <c r="Q127" s="331"/>
      <c r="R127" s="331"/>
      <c r="S127" s="331"/>
      <c r="T127" s="300"/>
      <c r="U127" s="300"/>
      <c r="V127" s="300"/>
      <c r="W127" s="300"/>
      <c r="X127" s="300"/>
      <c r="Y127" s="300"/>
      <c r="Z127" s="300"/>
      <c r="AA127" s="300"/>
      <c r="AB127" s="300"/>
      <c r="AC127" s="273"/>
      <c r="AD127" s="272"/>
      <c r="AE127" s="272"/>
      <c r="AF127" s="272"/>
      <c r="AG127" s="272"/>
      <c r="AH127" s="272"/>
      <c r="AI127" s="272"/>
      <c r="AJ127" s="272"/>
      <c r="AK127" s="272"/>
      <c r="AL127" s="272"/>
      <c r="AM127" s="272"/>
      <c r="AN127" s="272"/>
      <c r="AO127" s="272"/>
      <c r="AP127" s="272"/>
      <c r="AQ127" s="272"/>
      <c r="AR127" s="274"/>
      <c r="AS127" s="274"/>
      <c r="AT127" s="274"/>
      <c r="AU127" s="274"/>
      <c r="AV127" s="274"/>
      <c r="AW127" s="274"/>
      <c r="AX127" s="298"/>
      <c r="AY127" s="298"/>
      <c r="AZ127" s="298"/>
      <c r="BA127" s="274"/>
      <c r="BB127" s="274"/>
      <c r="BC127" s="274"/>
      <c r="BD127" s="13"/>
      <c r="BE127" s="261"/>
      <c r="BF127" s="261"/>
      <c r="BG127" s="261"/>
      <c r="BH127" s="261"/>
      <c r="BI127" s="261"/>
      <c r="BJ127" s="261"/>
      <c r="BK127" s="261"/>
      <c r="BL127" s="261"/>
      <c r="BM127" s="261"/>
      <c r="BN127" s="261"/>
      <c r="BO127" s="261"/>
      <c r="BP127" s="261"/>
      <c r="BQ127" s="29"/>
    </row>
    <row r="128" spans="1:69" ht="7.5" customHeight="1">
      <c r="A128" s="19"/>
      <c r="B128" s="332"/>
      <c r="C128" s="333"/>
      <c r="D128" s="333"/>
      <c r="E128" s="333"/>
      <c r="F128" s="333"/>
      <c r="G128" s="333"/>
      <c r="H128" s="333"/>
      <c r="I128" s="333"/>
      <c r="J128" s="333"/>
      <c r="K128" s="333"/>
      <c r="L128" s="333"/>
      <c r="M128" s="333"/>
      <c r="N128" s="333"/>
      <c r="O128" s="333"/>
      <c r="P128" s="333"/>
      <c r="Q128" s="331"/>
      <c r="R128" s="331"/>
      <c r="S128" s="331"/>
      <c r="T128" s="300"/>
      <c r="U128" s="300"/>
      <c r="V128" s="300"/>
      <c r="W128" s="300"/>
      <c r="X128" s="300"/>
      <c r="Y128" s="300"/>
      <c r="Z128" s="300"/>
      <c r="AA128" s="300"/>
      <c r="AB128" s="300"/>
      <c r="AC128" s="273">
        <v>16</v>
      </c>
      <c r="AD128" s="272"/>
      <c r="AE128" s="272"/>
      <c r="AF128" s="272"/>
      <c r="AG128" s="272"/>
      <c r="AH128" s="272"/>
      <c r="AI128" s="272"/>
      <c r="AJ128" s="272"/>
      <c r="AK128" s="272"/>
      <c r="AL128" s="272"/>
      <c r="AM128" s="272"/>
      <c r="AN128" s="272"/>
      <c r="AO128" s="272"/>
      <c r="AP128" s="272"/>
      <c r="AQ128" s="272"/>
      <c r="AR128" s="274"/>
      <c r="AS128" s="274"/>
      <c r="AT128" s="274"/>
      <c r="AU128" s="274"/>
      <c r="AV128" s="274"/>
      <c r="AW128" s="274"/>
      <c r="AX128" s="298">
        <f>IF(BL39&lt;30,AU128*3,IF(BL39&lt;126,AU128*2+AU128*(100-BL39)/100,AU128*(BL39-100)/100))</f>
        <v>0</v>
      </c>
      <c r="AY128" s="298"/>
      <c r="AZ128" s="298"/>
      <c r="BA128" s="274"/>
      <c r="BB128" s="274"/>
      <c r="BC128" s="274"/>
      <c r="BD128" s="13"/>
      <c r="BE128" s="261"/>
      <c r="BF128" s="261"/>
      <c r="BG128" s="261"/>
      <c r="BH128" s="261"/>
      <c r="BI128" s="261"/>
      <c r="BJ128" s="261"/>
      <c r="BK128" s="261"/>
      <c r="BL128" s="261"/>
      <c r="BM128" s="261"/>
      <c r="BN128" s="261"/>
      <c r="BO128" s="261"/>
      <c r="BP128" s="261"/>
      <c r="BQ128" s="29"/>
    </row>
    <row r="129" spans="1:69" ht="7.5" customHeight="1">
      <c r="A129" s="19"/>
      <c r="B129" s="332">
        <v>7</v>
      </c>
      <c r="C129" s="333"/>
      <c r="D129" s="333"/>
      <c r="E129" s="333"/>
      <c r="F129" s="333"/>
      <c r="G129" s="333"/>
      <c r="H129" s="333"/>
      <c r="I129" s="333"/>
      <c r="J129" s="333"/>
      <c r="K129" s="333"/>
      <c r="L129" s="333"/>
      <c r="M129" s="333"/>
      <c r="N129" s="333"/>
      <c r="O129" s="333"/>
      <c r="P129" s="333"/>
      <c r="Q129" s="331"/>
      <c r="R129" s="331"/>
      <c r="S129" s="331"/>
      <c r="T129" s="299">
        <f>IF(INDEX(Таблицы!AA398:AA462,Таблицы!Y428,1)="",0,INDEX(Таблицы!AA398:AA462,Таблицы!Y428,1))</f>
        <v>0</v>
      </c>
      <c r="U129" s="299"/>
      <c r="V129" s="299"/>
      <c r="W129" s="300">
        <f>IF(AK39&lt;30,T129*3,IF(AK39&lt;126,T129*2+T129*(100-AK39)/100,T129*(AK39-100)/100))</f>
        <v>0</v>
      </c>
      <c r="X129" s="300"/>
      <c r="Y129" s="300"/>
      <c r="Z129" s="299">
        <f>IF(INDEX(Таблицы!AB398:AB462,Таблицы!Y428,1)="",0,INDEX(Таблицы!AB398:AB462,Таблицы!Y428,1))*Q129</f>
        <v>0</v>
      </c>
      <c r="AA129" s="299"/>
      <c r="AB129" s="299"/>
      <c r="AC129" s="273"/>
      <c r="AD129" s="272"/>
      <c r="AE129" s="272"/>
      <c r="AF129" s="272"/>
      <c r="AG129" s="272"/>
      <c r="AH129" s="272"/>
      <c r="AI129" s="272"/>
      <c r="AJ129" s="272"/>
      <c r="AK129" s="272"/>
      <c r="AL129" s="272"/>
      <c r="AM129" s="272"/>
      <c r="AN129" s="272"/>
      <c r="AO129" s="272"/>
      <c r="AP129" s="272"/>
      <c r="AQ129" s="272"/>
      <c r="AR129" s="274"/>
      <c r="AS129" s="274"/>
      <c r="AT129" s="274"/>
      <c r="AU129" s="274"/>
      <c r="AV129" s="274"/>
      <c r="AW129" s="274"/>
      <c r="AX129" s="298"/>
      <c r="AY129" s="298"/>
      <c r="AZ129" s="298"/>
      <c r="BA129" s="274"/>
      <c r="BB129" s="274"/>
      <c r="BC129" s="274"/>
      <c r="BD129" s="13"/>
      <c r="BE129" s="261"/>
      <c r="BF129" s="261"/>
      <c r="BG129" s="261"/>
      <c r="BH129" s="261"/>
      <c r="BI129" s="261"/>
      <c r="BJ129" s="261"/>
      <c r="BK129" s="261"/>
      <c r="BL129" s="261"/>
      <c r="BM129" s="261"/>
      <c r="BN129" s="261"/>
      <c r="BO129" s="261"/>
      <c r="BP129" s="261"/>
      <c r="BQ129" s="29"/>
    </row>
    <row r="130" spans="1:69" ht="7.5" customHeight="1">
      <c r="A130" s="19"/>
      <c r="B130" s="332"/>
      <c r="C130" s="333"/>
      <c r="D130" s="333"/>
      <c r="E130" s="333"/>
      <c r="F130" s="333"/>
      <c r="G130" s="333"/>
      <c r="H130" s="333"/>
      <c r="I130" s="333"/>
      <c r="J130" s="333"/>
      <c r="K130" s="333"/>
      <c r="L130" s="333"/>
      <c r="M130" s="333"/>
      <c r="N130" s="333"/>
      <c r="O130" s="333"/>
      <c r="P130" s="333"/>
      <c r="Q130" s="331"/>
      <c r="R130" s="331"/>
      <c r="S130" s="331"/>
      <c r="T130" s="300"/>
      <c r="U130" s="300"/>
      <c r="V130" s="300"/>
      <c r="W130" s="300"/>
      <c r="X130" s="300"/>
      <c r="Y130" s="300"/>
      <c r="Z130" s="300"/>
      <c r="AA130" s="300"/>
      <c r="AB130" s="300"/>
      <c r="AC130" s="275" t="s">
        <v>230</v>
      </c>
      <c r="AD130" s="275"/>
      <c r="AE130" s="275"/>
      <c r="AF130" s="275"/>
      <c r="AG130" s="275"/>
      <c r="AH130" s="275"/>
      <c r="AI130" s="275"/>
      <c r="AJ130" s="275"/>
      <c r="AK130" s="275"/>
      <c r="AL130" s="275"/>
      <c r="AM130" s="275"/>
      <c r="AN130" s="275"/>
      <c r="AO130" s="275"/>
      <c r="AP130" s="275"/>
      <c r="AQ130" s="275"/>
      <c r="AR130" s="275"/>
      <c r="AS130" s="275"/>
      <c r="AT130" s="276"/>
      <c r="AU130" s="279">
        <f>SUM(T111:V131)+SUM(AU111:AW129)</f>
        <v>0</v>
      </c>
      <c r="AV130" s="279"/>
      <c r="AW130" s="279"/>
      <c r="AX130" s="279">
        <f>SUM(W111:Y131)+SUM(AX111:AZ129)</f>
        <v>0</v>
      </c>
      <c r="AY130" s="279"/>
      <c r="AZ130" s="279"/>
      <c r="BA130" s="279">
        <f>SUM(Z111:AB131)+SUM(BA111:BC129)</f>
        <v>0</v>
      </c>
      <c r="BB130" s="279"/>
      <c r="BC130" s="279"/>
      <c r="BD130" s="13"/>
      <c r="BE130" s="261"/>
      <c r="BF130" s="261"/>
      <c r="BG130" s="261"/>
      <c r="BH130" s="261"/>
      <c r="BI130" s="261"/>
      <c r="BJ130" s="261"/>
      <c r="BK130" s="261"/>
      <c r="BL130" s="261"/>
      <c r="BM130" s="261"/>
      <c r="BN130" s="261"/>
      <c r="BO130" s="261"/>
      <c r="BP130" s="261"/>
      <c r="BQ130" s="29"/>
    </row>
    <row r="131" spans="1:69" ht="7.5" customHeight="1">
      <c r="A131" s="19"/>
      <c r="B131" s="332"/>
      <c r="C131" s="333"/>
      <c r="D131" s="333"/>
      <c r="E131" s="333"/>
      <c r="F131" s="333"/>
      <c r="G131" s="333"/>
      <c r="H131" s="333"/>
      <c r="I131" s="333"/>
      <c r="J131" s="333"/>
      <c r="K131" s="333"/>
      <c r="L131" s="333"/>
      <c r="M131" s="333"/>
      <c r="N131" s="333"/>
      <c r="O131" s="333"/>
      <c r="P131" s="333"/>
      <c r="Q131" s="331"/>
      <c r="R131" s="331"/>
      <c r="S131" s="331"/>
      <c r="T131" s="300"/>
      <c r="U131" s="300"/>
      <c r="V131" s="300"/>
      <c r="W131" s="300"/>
      <c r="X131" s="300"/>
      <c r="Y131" s="300"/>
      <c r="Z131" s="300"/>
      <c r="AA131" s="300"/>
      <c r="AB131" s="300"/>
      <c r="AC131" s="277"/>
      <c r="AD131" s="277"/>
      <c r="AE131" s="277"/>
      <c r="AF131" s="277"/>
      <c r="AG131" s="277"/>
      <c r="AH131" s="277"/>
      <c r="AI131" s="277"/>
      <c r="AJ131" s="277"/>
      <c r="AK131" s="277"/>
      <c r="AL131" s="277"/>
      <c r="AM131" s="277"/>
      <c r="AN131" s="277"/>
      <c r="AO131" s="277"/>
      <c r="AP131" s="277"/>
      <c r="AQ131" s="277"/>
      <c r="AR131" s="277"/>
      <c r="AS131" s="277"/>
      <c r="AT131" s="278"/>
      <c r="AU131" s="279"/>
      <c r="AV131" s="279"/>
      <c r="AW131" s="279"/>
      <c r="AX131" s="279"/>
      <c r="AY131" s="279"/>
      <c r="AZ131" s="279"/>
      <c r="BA131" s="279"/>
      <c r="BB131" s="279"/>
      <c r="BC131" s="279"/>
      <c r="BD131" s="13"/>
      <c r="BE131" s="261"/>
      <c r="BF131" s="261"/>
      <c r="BG131" s="261"/>
      <c r="BH131" s="261"/>
      <c r="BI131" s="261"/>
      <c r="BJ131" s="261"/>
      <c r="BK131" s="261"/>
      <c r="BL131" s="261"/>
      <c r="BM131" s="261"/>
      <c r="BN131" s="261"/>
      <c r="BO131" s="261"/>
      <c r="BP131" s="261"/>
      <c r="BQ131" s="29"/>
    </row>
    <row r="132" spans="1:69" ht="7.5" customHeight="1" thickBot="1">
      <c r="A132" s="32"/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0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3"/>
    </row>
  </sheetData>
  <sheetProtection password="CF7A" sheet="1" objects="1" scenarios="1"/>
  <mergeCells count="760">
    <mergeCell ref="BE110:BN111"/>
    <mergeCell ref="BO110:BP111"/>
    <mergeCell ref="BE106:BN107"/>
    <mergeCell ref="BO106:BP107"/>
    <mergeCell ref="BE108:BN109"/>
    <mergeCell ref="BO108:BP109"/>
    <mergeCell ref="BE100:BP101"/>
    <mergeCell ref="BE102:BN103"/>
    <mergeCell ref="BO102:BP103"/>
    <mergeCell ref="BE104:BN105"/>
    <mergeCell ref="BO104:BP105"/>
    <mergeCell ref="V72:Y73"/>
    <mergeCell ref="Z72:Z73"/>
    <mergeCell ref="AD70:BC71"/>
    <mergeCell ref="B70:AA71"/>
    <mergeCell ref="AV72:AW74"/>
    <mergeCell ref="B72:E74"/>
    <mergeCell ref="T72:U74"/>
    <mergeCell ref="AT72:AU74"/>
    <mergeCell ref="AH72:AS74"/>
    <mergeCell ref="F72:Q74"/>
    <mergeCell ref="AA2:AE3"/>
    <mergeCell ref="AF2:AR3"/>
    <mergeCell ref="AH47:AR49"/>
    <mergeCell ref="AJ77:AK78"/>
    <mergeCell ref="AL77:AL78"/>
    <mergeCell ref="AM77:AN78"/>
    <mergeCell ref="AO77:AU78"/>
    <mergeCell ref="AD75:AD76"/>
    <mergeCell ref="AT75:AW76"/>
    <mergeCell ref="AD72:AG74"/>
    <mergeCell ref="BO93:BO94"/>
    <mergeCell ref="BP93:BP94"/>
    <mergeCell ref="R72:S74"/>
    <mergeCell ref="AX72:BA73"/>
    <mergeCell ref="BB72:BB73"/>
    <mergeCell ref="BM85:BN86"/>
    <mergeCell ref="BO85:BO86"/>
    <mergeCell ref="BP85:BP86"/>
    <mergeCell ref="BM89:BN90"/>
    <mergeCell ref="BO89:BO90"/>
    <mergeCell ref="AR79:AS81"/>
    <mergeCell ref="BH89:BH90"/>
    <mergeCell ref="BI89:BJ90"/>
    <mergeCell ref="BK89:BL90"/>
    <mergeCell ref="BK87:BK88"/>
    <mergeCell ref="BH87:BH88"/>
    <mergeCell ref="BL87:BM88"/>
    <mergeCell ref="BE87:BG90"/>
    <mergeCell ref="BI75:BJ76"/>
    <mergeCell ref="BK75:BL76"/>
    <mergeCell ref="BM75:BN76"/>
    <mergeCell ref="BP89:BP90"/>
    <mergeCell ref="BO87:BP88"/>
    <mergeCell ref="BN87:BN88"/>
    <mergeCell ref="BI87:BJ88"/>
    <mergeCell ref="BL83:BM84"/>
    <mergeCell ref="BL81:BP82"/>
    <mergeCell ref="BO75:BP76"/>
    <mergeCell ref="BB60:BO61"/>
    <mergeCell ref="BB62:BO63"/>
    <mergeCell ref="BB64:BO65"/>
    <mergeCell ref="BB66:BO67"/>
    <mergeCell ref="BB47:BO49"/>
    <mergeCell ref="BB50:BO51"/>
    <mergeCell ref="BB52:BO53"/>
    <mergeCell ref="BB54:BO55"/>
    <mergeCell ref="BE128:BP129"/>
    <mergeCell ref="BE130:BP131"/>
    <mergeCell ref="BE120:BP121"/>
    <mergeCell ref="BE122:BP123"/>
    <mergeCell ref="BE124:BP125"/>
    <mergeCell ref="BE126:BP127"/>
    <mergeCell ref="BE114:BP115"/>
    <mergeCell ref="BE116:BP117"/>
    <mergeCell ref="AC128:AC129"/>
    <mergeCell ref="AD128:AQ129"/>
    <mergeCell ref="AR128:AT129"/>
    <mergeCell ref="BA126:BC127"/>
    <mergeCell ref="BA120:BC121"/>
    <mergeCell ref="AX122:AZ123"/>
    <mergeCell ref="AU128:AW129"/>
    <mergeCell ref="BA122:BC123"/>
    <mergeCell ref="AC130:AT131"/>
    <mergeCell ref="AU130:AW131"/>
    <mergeCell ref="AX130:AZ131"/>
    <mergeCell ref="BA130:BC131"/>
    <mergeCell ref="BI70:BP72"/>
    <mergeCell ref="BE73:BF74"/>
    <mergeCell ref="BG73:BH74"/>
    <mergeCell ref="BI73:BJ74"/>
    <mergeCell ref="BK73:BL74"/>
    <mergeCell ref="BM73:BN74"/>
    <mergeCell ref="BO73:BP74"/>
    <mergeCell ref="BE70:BH72"/>
    <mergeCell ref="BO91:BP92"/>
    <mergeCell ref="BH93:BH94"/>
    <mergeCell ref="BI93:BJ94"/>
    <mergeCell ref="BK93:BL94"/>
    <mergeCell ref="BL91:BM92"/>
    <mergeCell ref="BN91:BN92"/>
    <mergeCell ref="BM93:BN94"/>
    <mergeCell ref="BK91:BK92"/>
    <mergeCell ref="BI91:BJ92"/>
    <mergeCell ref="BH91:BH92"/>
    <mergeCell ref="BE75:BF76"/>
    <mergeCell ref="BG75:BH76"/>
    <mergeCell ref="BE118:BP119"/>
    <mergeCell ref="BN79:BN80"/>
    <mergeCell ref="BO79:BP80"/>
    <mergeCell ref="BH81:BH82"/>
    <mergeCell ref="BI81:BJ82"/>
    <mergeCell ref="BK81:BK82"/>
    <mergeCell ref="BE79:BG82"/>
    <mergeCell ref="BN83:BN84"/>
    <mergeCell ref="AX124:AZ125"/>
    <mergeCell ref="BA124:BC125"/>
    <mergeCell ref="AX128:AZ129"/>
    <mergeCell ref="BA128:BC129"/>
    <mergeCell ref="AX126:AZ127"/>
    <mergeCell ref="AX120:AZ121"/>
    <mergeCell ref="AC124:AC125"/>
    <mergeCell ref="AD124:AQ125"/>
    <mergeCell ref="AC126:AC127"/>
    <mergeCell ref="AD126:AQ127"/>
    <mergeCell ref="AR126:AT127"/>
    <mergeCell ref="AU126:AW127"/>
    <mergeCell ref="AR124:AT125"/>
    <mergeCell ref="AU124:AW125"/>
    <mergeCell ref="AR120:AT121"/>
    <mergeCell ref="BA111:BC113"/>
    <mergeCell ref="AX109:AZ110"/>
    <mergeCell ref="BA118:BC119"/>
    <mergeCell ref="AC116:AC117"/>
    <mergeCell ref="AD116:AQ117"/>
    <mergeCell ref="AC118:AC119"/>
    <mergeCell ref="AD118:AQ119"/>
    <mergeCell ref="AR118:AT119"/>
    <mergeCell ref="AU118:AW119"/>
    <mergeCell ref="AU116:AW117"/>
    <mergeCell ref="BA114:BC115"/>
    <mergeCell ref="Z123:AB125"/>
    <mergeCell ref="AX118:AZ119"/>
    <mergeCell ref="AC120:AC121"/>
    <mergeCell ref="AD120:AQ121"/>
    <mergeCell ref="AU120:AW121"/>
    <mergeCell ref="AC122:AC123"/>
    <mergeCell ref="AD122:AQ123"/>
    <mergeCell ref="AR122:AT123"/>
    <mergeCell ref="AU122:AW123"/>
    <mergeCell ref="Z111:AB113"/>
    <mergeCell ref="AC114:AC115"/>
    <mergeCell ref="AD114:AQ115"/>
    <mergeCell ref="AX116:AZ117"/>
    <mergeCell ref="AX114:AZ115"/>
    <mergeCell ref="W129:Y131"/>
    <mergeCell ref="BK77:BL78"/>
    <mergeCell ref="BE83:BG86"/>
    <mergeCell ref="BE77:BF78"/>
    <mergeCell ref="BH83:BH84"/>
    <mergeCell ref="BI83:BJ84"/>
    <mergeCell ref="BK83:BK84"/>
    <mergeCell ref="BL79:BM80"/>
    <mergeCell ref="BH79:BH80"/>
    <mergeCell ref="BI79:BJ80"/>
    <mergeCell ref="B123:B125"/>
    <mergeCell ref="C123:P125"/>
    <mergeCell ref="Z126:AB128"/>
    <mergeCell ref="B129:B131"/>
    <mergeCell ref="C129:P131"/>
    <mergeCell ref="B126:B128"/>
    <mergeCell ref="C126:P128"/>
    <mergeCell ref="Q126:S128"/>
    <mergeCell ref="T126:V128"/>
    <mergeCell ref="Q129:S131"/>
    <mergeCell ref="B120:B122"/>
    <mergeCell ref="C120:P122"/>
    <mergeCell ref="BK79:BK80"/>
    <mergeCell ref="AD109:AQ110"/>
    <mergeCell ref="AC111:AC113"/>
    <mergeCell ref="AD111:AQ113"/>
    <mergeCell ref="BA116:BC117"/>
    <mergeCell ref="AU111:AW113"/>
    <mergeCell ref="AX111:AZ113"/>
    <mergeCell ref="AR116:AT117"/>
    <mergeCell ref="BO77:BP78"/>
    <mergeCell ref="BM77:BN78"/>
    <mergeCell ref="BE95:BP96"/>
    <mergeCell ref="BE97:BP98"/>
    <mergeCell ref="BO83:BP84"/>
    <mergeCell ref="BH85:BH86"/>
    <mergeCell ref="BI85:BJ86"/>
    <mergeCell ref="BK85:BL86"/>
    <mergeCell ref="BG77:BJ78"/>
    <mergeCell ref="BE91:BG94"/>
    <mergeCell ref="T117:V119"/>
    <mergeCell ref="W117:Y119"/>
    <mergeCell ref="Z117:AB119"/>
    <mergeCell ref="AU95:AW96"/>
    <mergeCell ref="AR114:AT115"/>
    <mergeCell ref="AU114:AW115"/>
    <mergeCell ref="AS95:AT96"/>
    <mergeCell ref="AM95:AR96"/>
    <mergeCell ref="AR111:AT113"/>
    <mergeCell ref="AC109:AC110"/>
    <mergeCell ref="B90:I92"/>
    <mergeCell ref="Q117:S119"/>
    <mergeCell ref="C109:P110"/>
    <mergeCell ref="B109:B110"/>
    <mergeCell ref="B117:B119"/>
    <mergeCell ref="C117:P119"/>
    <mergeCell ref="B103:I104"/>
    <mergeCell ref="B99:I100"/>
    <mergeCell ref="K99:P100"/>
    <mergeCell ref="B97:I98"/>
    <mergeCell ref="AM90:AO92"/>
    <mergeCell ref="AZ84:BA85"/>
    <mergeCell ref="AX76:AY85"/>
    <mergeCell ref="AV77:AW78"/>
    <mergeCell ref="AT79:AU81"/>
    <mergeCell ref="AN84:AP85"/>
    <mergeCell ref="AV79:AW81"/>
    <mergeCell ref="AK82:AM83"/>
    <mergeCell ref="AN82:AW83"/>
    <mergeCell ref="AD84:AK85"/>
    <mergeCell ref="AM99:AR100"/>
    <mergeCell ref="AM103:AR104"/>
    <mergeCell ref="AM101:AR102"/>
    <mergeCell ref="S99:U100"/>
    <mergeCell ref="AJ101:AK102"/>
    <mergeCell ref="AH103:AI104"/>
    <mergeCell ref="AA99:AB100"/>
    <mergeCell ref="AJ103:AK104"/>
    <mergeCell ref="AA103:AB104"/>
    <mergeCell ref="AA101:AB102"/>
    <mergeCell ref="AJ97:AK98"/>
    <mergeCell ref="AM97:AR98"/>
    <mergeCell ref="AH95:AI96"/>
    <mergeCell ref="AJ95:AK96"/>
    <mergeCell ref="B95:I96"/>
    <mergeCell ref="AA93:AE94"/>
    <mergeCell ref="K97:P98"/>
    <mergeCell ref="AC95:AE96"/>
    <mergeCell ref="V95:W96"/>
    <mergeCell ref="S95:U96"/>
    <mergeCell ref="AA95:AB96"/>
    <mergeCell ref="B93:I94"/>
    <mergeCell ref="K93:M94"/>
    <mergeCell ref="V93:Z94"/>
    <mergeCell ref="BB76:BC77"/>
    <mergeCell ref="BB80:BC81"/>
    <mergeCell ref="AZ82:BA83"/>
    <mergeCell ref="BB82:BC83"/>
    <mergeCell ref="AZ76:BA77"/>
    <mergeCell ref="AZ78:BA79"/>
    <mergeCell ref="BB78:BC79"/>
    <mergeCell ref="AZ80:BA81"/>
    <mergeCell ref="K90:P92"/>
    <mergeCell ref="N93:P94"/>
    <mergeCell ref="AH97:AI98"/>
    <mergeCell ref="Q101:R102"/>
    <mergeCell ref="S101:U102"/>
    <mergeCell ref="K95:P96"/>
    <mergeCell ref="S97:U98"/>
    <mergeCell ref="K101:P102"/>
    <mergeCell ref="AC101:AE102"/>
    <mergeCell ref="V97:W98"/>
    <mergeCell ref="T84:U85"/>
    <mergeCell ref="V76:W85"/>
    <mergeCell ref="X84:Y85"/>
    <mergeCell ref="Z84:AA85"/>
    <mergeCell ref="Z80:AA81"/>
    <mergeCell ref="Z76:AA77"/>
    <mergeCell ref="AD79:AF81"/>
    <mergeCell ref="AG79:AO81"/>
    <mergeCell ref="AJ75:AQ76"/>
    <mergeCell ref="AP79:AQ81"/>
    <mergeCell ref="AF82:AJ83"/>
    <mergeCell ref="AL84:AM85"/>
    <mergeCell ref="AQ84:AR85"/>
    <mergeCell ref="AS93:AW94"/>
    <mergeCell ref="AS84:AU85"/>
    <mergeCell ref="AP93:AR94"/>
    <mergeCell ref="AV84:AW85"/>
    <mergeCell ref="AM93:AO94"/>
    <mergeCell ref="AP90:BC92"/>
    <mergeCell ref="BB84:BC85"/>
    <mergeCell ref="AR109:AT110"/>
    <mergeCell ref="AZ99:BA100"/>
    <mergeCell ref="AS99:AT100"/>
    <mergeCell ref="AU99:AW100"/>
    <mergeCell ref="AX95:AY104"/>
    <mergeCell ref="AZ95:BA96"/>
    <mergeCell ref="AZ97:BA98"/>
    <mergeCell ref="AZ103:BA104"/>
    <mergeCell ref="AU97:AW98"/>
    <mergeCell ref="AS101:AT102"/>
    <mergeCell ref="BB95:BC96"/>
    <mergeCell ref="B88:BC89"/>
    <mergeCell ref="AJ99:AK100"/>
    <mergeCell ref="Q90:AK92"/>
    <mergeCell ref="Q93:U94"/>
    <mergeCell ref="BB97:BC98"/>
    <mergeCell ref="BB99:BC100"/>
    <mergeCell ref="AS97:AT98"/>
    <mergeCell ref="AH99:AI100"/>
    <mergeCell ref="X95:Z96"/>
    <mergeCell ref="AU109:AW110"/>
    <mergeCell ref="BB103:BC104"/>
    <mergeCell ref="AZ101:BA102"/>
    <mergeCell ref="BB101:BC102"/>
    <mergeCell ref="BA109:BC110"/>
    <mergeCell ref="AU101:AW102"/>
    <mergeCell ref="AS103:AT104"/>
    <mergeCell ref="AU103:AW104"/>
    <mergeCell ref="B107:BC108"/>
    <mergeCell ref="B101:I102"/>
    <mergeCell ref="K103:P104"/>
    <mergeCell ref="AH101:AI102"/>
    <mergeCell ref="X97:Z98"/>
    <mergeCell ref="T109:V110"/>
    <mergeCell ref="AF95:AG104"/>
    <mergeCell ref="AC103:AE104"/>
    <mergeCell ref="AA97:AB98"/>
    <mergeCell ref="AC99:AE100"/>
    <mergeCell ref="AC97:AE98"/>
    <mergeCell ref="Q109:S110"/>
    <mergeCell ref="V99:W100"/>
    <mergeCell ref="X101:Z102"/>
    <mergeCell ref="V101:W102"/>
    <mergeCell ref="V103:W104"/>
    <mergeCell ref="Q103:R104"/>
    <mergeCell ref="Z109:AB110"/>
    <mergeCell ref="X99:Z100"/>
    <mergeCell ref="X103:Z104"/>
    <mergeCell ref="W109:Y110"/>
    <mergeCell ref="B84:I85"/>
    <mergeCell ref="B82:C83"/>
    <mergeCell ref="T79:U81"/>
    <mergeCell ref="R79:S81"/>
    <mergeCell ref="O84:P85"/>
    <mergeCell ref="J84:K85"/>
    <mergeCell ref="L84:N85"/>
    <mergeCell ref="N79:O81"/>
    <mergeCell ref="P79:Q81"/>
    <mergeCell ref="L82:U83"/>
    <mergeCell ref="AR75:AS76"/>
    <mergeCell ref="AD77:AE78"/>
    <mergeCell ref="AF77:AF78"/>
    <mergeCell ref="AG77:AH78"/>
    <mergeCell ref="AI77:AI78"/>
    <mergeCell ref="AE75:AG76"/>
    <mergeCell ref="AH75:AI76"/>
    <mergeCell ref="D82:H83"/>
    <mergeCell ref="I82:K83"/>
    <mergeCell ref="AD82:AE83"/>
    <mergeCell ref="X82:Y83"/>
    <mergeCell ref="Z82:AA83"/>
    <mergeCell ref="M77:S78"/>
    <mergeCell ref="B79:D81"/>
    <mergeCell ref="E79:M81"/>
    <mergeCell ref="X80:Y81"/>
    <mergeCell ref="G77:G78"/>
    <mergeCell ref="H77:I78"/>
    <mergeCell ref="J77:J78"/>
    <mergeCell ref="K77:L78"/>
    <mergeCell ref="B75:B76"/>
    <mergeCell ref="C75:E76"/>
    <mergeCell ref="T77:U78"/>
    <mergeCell ref="Z78:AA79"/>
    <mergeCell ref="X76:Y77"/>
    <mergeCell ref="X78:Y79"/>
    <mergeCell ref="B77:C78"/>
    <mergeCell ref="D77:D78"/>
    <mergeCell ref="E77:F78"/>
    <mergeCell ref="F75:G76"/>
    <mergeCell ref="H75:O76"/>
    <mergeCell ref="P75:Q76"/>
    <mergeCell ref="R75:U76"/>
    <mergeCell ref="AT47:BA49"/>
    <mergeCell ref="AT50:BA51"/>
    <mergeCell ref="AH62:AR67"/>
    <mergeCell ref="AH59:AR61"/>
    <mergeCell ref="AH53:AR58"/>
    <mergeCell ref="AT64:BA65"/>
    <mergeCell ref="AT66:BA67"/>
    <mergeCell ref="AT54:BA55"/>
    <mergeCell ref="V52:X53"/>
    <mergeCell ref="B62:N63"/>
    <mergeCell ref="B60:N61"/>
    <mergeCell ref="B58:N59"/>
    <mergeCell ref="B56:N57"/>
    <mergeCell ref="O58:Q59"/>
    <mergeCell ref="AT5:AU6"/>
    <mergeCell ref="AT62:BA63"/>
    <mergeCell ref="AT52:BA53"/>
    <mergeCell ref="AT58:BA59"/>
    <mergeCell ref="AT60:BA61"/>
    <mergeCell ref="AT33:AU34"/>
    <mergeCell ref="AX13:AY14"/>
    <mergeCell ref="AT35:AU36"/>
    <mergeCell ref="AX25:AY26"/>
    <mergeCell ref="AX23:AY24"/>
    <mergeCell ref="BJ11:BK12"/>
    <mergeCell ref="BJ9:BK10"/>
    <mergeCell ref="BJ7:BK8"/>
    <mergeCell ref="BF13:BG14"/>
    <mergeCell ref="BF11:BG12"/>
    <mergeCell ref="BF9:BG10"/>
    <mergeCell ref="BF7:BG8"/>
    <mergeCell ref="BJ13:BK14"/>
    <mergeCell ref="BI7:BI44"/>
    <mergeCell ref="BJ19:BK20"/>
    <mergeCell ref="BN7:BO8"/>
    <mergeCell ref="BN13:BO14"/>
    <mergeCell ref="BN11:BO12"/>
    <mergeCell ref="BN9:BO10"/>
    <mergeCell ref="BB56:BO57"/>
    <mergeCell ref="BB58:BO59"/>
    <mergeCell ref="AH50:AR52"/>
    <mergeCell ref="AT3:AU4"/>
    <mergeCell ref="AT56:BA57"/>
    <mergeCell ref="AC5:AJ6"/>
    <mergeCell ref="AT39:AU40"/>
    <mergeCell ref="AT41:AU42"/>
    <mergeCell ref="AT43:AU44"/>
    <mergeCell ref="AT31:AU32"/>
    <mergeCell ref="AW3:AY4"/>
    <mergeCell ref="BA3:BG4"/>
    <mergeCell ref="BI3:BO4"/>
    <mergeCell ref="AW5:AY6"/>
    <mergeCell ref="BA5:BG6"/>
    <mergeCell ref="BI5:BO6"/>
    <mergeCell ref="BN39:BO40"/>
    <mergeCell ref="BN37:BO38"/>
    <mergeCell ref="BN15:BO16"/>
    <mergeCell ref="BN29:BO30"/>
    <mergeCell ref="BN27:BO28"/>
    <mergeCell ref="BN25:BO26"/>
    <mergeCell ref="BN21:BO22"/>
    <mergeCell ref="BN19:BO20"/>
    <mergeCell ref="BN17:BO18"/>
    <mergeCell ref="BJ27:BK28"/>
    <mergeCell ref="BJ25:BK26"/>
    <mergeCell ref="BJ23:BK24"/>
    <mergeCell ref="BN35:BO36"/>
    <mergeCell ref="BN33:BO34"/>
    <mergeCell ref="BN31:BO32"/>
    <mergeCell ref="BN23:BO24"/>
    <mergeCell ref="BM7:BM44"/>
    <mergeCell ref="BN43:BO44"/>
    <mergeCell ref="BN41:BO42"/>
    <mergeCell ref="BJ17:BK18"/>
    <mergeCell ref="BJ15:BK16"/>
    <mergeCell ref="BF43:BG44"/>
    <mergeCell ref="BF41:BG42"/>
    <mergeCell ref="BF39:BG40"/>
    <mergeCell ref="BJ35:BK36"/>
    <mergeCell ref="BJ33:BK34"/>
    <mergeCell ref="BJ31:BK32"/>
    <mergeCell ref="BJ21:BK22"/>
    <mergeCell ref="BJ29:BK30"/>
    <mergeCell ref="BJ43:BK44"/>
    <mergeCell ref="BJ41:BK42"/>
    <mergeCell ref="BJ39:BK40"/>
    <mergeCell ref="BJ37:BK38"/>
    <mergeCell ref="BB37:BC38"/>
    <mergeCell ref="BF21:BG22"/>
    <mergeCell ref="BF19:BG20"/>
    <mergeCell ref="BF17:BG18"/>
    <mergeCell ref="BF35:BG36"/>
    <mergeCell ref="BF33:BG34"/>
    <mergeCell ref="BF31:BG32"/>
    <mergeCell ref="BF29:BG30"/>
    <mergeCell ref="BF37:BG38"/>
    <mergeCell ref="BB35:BC36"/>
    <mergeCell ref="BB33:BC34"/>
    <mergeCell ref="BB31:BC32"/>
    <mergeCell ref="BB13:BC14"/>
    <mergeCell ref="BB23:BC24"/>
    <mergeCell ref="BB29:BC30"/>
    <mergeCell ref="BB27:BC28"/>
    <mergeCell ref="BB11:BC12"/>
    <mergeCell ref="BB9:BC10"/>
    <mergeCell ref="BB7:BC8"/>
    <mergeCell ref="BB21:BC22"/>
    <mergeCell ref="BB19:BC20"/>
    <mergeCell ref="BB17:BC18"/>
    <mergeCell ref="BB15:BC16"/>
    <mergeCell ref="BF27:BG28"/>
    <mergeCell ref="BF23:BG24"/>
    <mergeCell ref="BF25:BG26"/>
    <mergeCell ref="BE7:BE44"/>
    <mergeCell ref="BF15:BG16"/>
    <mergeCell ref="AX29:AY30"/>
    <mergeCell ref="AX27:AY28"/>
    <mergeCell ref="AX43:AY44"/>
    <mergeCell ref="AX41:AY42"/>
    <mergeCell ref="AX39:AY40"/>
    <mergeCell ref="AX37:AY38"/>
    <mergeCell ref="BB43:BC44"/>
    <mergeCell ref="BB41:BC42"/>
    <mergeCell ref="BB39:BC40"/>
    <mergeCell ref="AX15:AY16"/>
    <mergeCell ref="AX35:AY36"/>
    <mergeCell ref="AX33:AY34"/>
    <mergeCell ref="AX31:AY32"/>
    <mergeCell ref="BB25:BC26"/>
    <mergeCell ref="BA7:BA44"/>
    <mergeCell ref="AX9:AY10"/>
    <mergeCell ref="AX7:AY8"/>
    <mergeCell ref="AX21:AY22"/>
    <mergeCell ref="AX19:AY20"/>
    <mergeCell ref="AX17:AY18"/>
    <mergeCell ref="AX11:AY12"/>
    <mergeCell ref="AW7:AW44"/>
    <mergeCell ref="AT15:AU16"/>
    <mergeCell ref="AT17:AU18"/>
    <mergeCell ref="AT19:AU20"/>
    <mergeCell ref="AT21:AU22"/>
    <mergeCell ref="AT37:AU38"/>
    <mergeCell ref="AT23:AU24"/>
    <mergeCell ref="AT25:AU26"/>
    <mergeCell ref="AT27:AU28"/>
    <mergeCell ref="AT29:AU30"/>
    <mergeCell ref="AT7:AU8"/>
    <mergeCell ref="AT9:AU10"/>
    <mergeCell ref="AT11:AU12"/>
    <mergeCell ref="AT13:AU14"/>
    <mergeCell ref="AK23:AL24"/>
    <mergeCell ref="AK21:AL22"/>
    <mergeCell ref="AK19:AL20"/>
    <mergeCell ref="AK17:AL18"/>
    <mergeCell ref="AK31:AL32"/>
    <mergeCell ref="AK29:AL30"/>
    <mergeCell ref="AK27:AL28"/>
    <mergeCell ref="AK25:AL26"/>
    <mergeCell ref="AP15:AQ16"/>
    <mergeCell ref="AP13:AQ14"/>
    <mergeCell ref="AP11:AQ12"/>
    <mergeCell ref="AP9:AQ10"/>
    <mergeCell ref="AP23:AQ24"/>
    <mergeCell ref="AP21:AQ22"/>
    <mergeCell ref="AP19:AQ20"/>
    <mergeCell ref="AP17:AQ18"/>
    <mergeCell ref="N34:P35"/>
    <mergeCell ref="N38:P39"/>
    <mergeCell ref="N36:P37"/>
    <mergeCell ref="D24:F25"/>
    <mergeCell ref="D38:F39"/>
    <mergeCell ref="D36:F37"/>
    <mergeCell ref="D34:F35"/>
    <mergeCell ref="D32:F33"/>
    <mergeCell ref="D30:F31"/>
    <mergeCell ref="D28:F29"/>
    <mergeCell ref="K36:M37"/>
    <mergeCell ref="H34:J35"/>
    <mergeCell ref="H36:J37"/>
    <mergeCell ref="H24:J25"/>
    <mergeCell ref="H26:J27"/>
    <mergeCell ref="H28:J29"/>
    <mergeCell ref="H30:J31"/>
    <mergeCell ref="R24:X25"/>
    <mergeCell ref="K38:M39"/>
    <mergeCell ref="S42:U43"/>
    <mergeCell ref="O42:Q43"/>
    <mergeCell ref="V42:X43"/>
    <mergeCell ref="B42:N43"/>
    <mergeCell ref="B38:C39"/>
    <mergeCell ref="H32:J33"/>
    <mergeCell ref="D26:F27"/>
    <mergeCell ref="K34:M35"/>
    <mergeCell ref="M4:P5"/>
    <mergeCell ref="U4:X5"/>
    <mergeCell ref="B8:E9"/>
    <mergeCell ref="N8:P9"/>
    <mergeCell ref="E4:H5"/>
    <mergeCell ref="B6:D7"/>
    <mergeCell ref="N6:P7"/>
    <mergeCell ref="E6:M7"/>
    <mergeCell ref="Q4:T5"/>
    <mergeCell ref="R26:X27"/>
    <mergeCell ref="R30:X31"/>
    <mergeCell ref="R34:X35"/>
    <mergeCell ref="R38:X39"/>
    <mergeCell ref="R36:X37"/>
    <mergeCell ref="R32:X33"/>
    <mergeCell ref="R28:X29"/>
    <mergeCell ref="V46:X47"/>
    <mergeCell ref="AN39:AO40"/>
    <mergeCell ref="AN37:AO38"/>
    <mergeCell ref="B52:N53"/>
    <mergeCell ref="B50:N51"/>
    <mergeCell ref="S48:U49"/>
    <mergeCell ref="S50:U51"/>
    <mergeCell ref="S44:U45"/>
    <mergeCell ref="B44:N45"/>
    <mergeCell ref="B46:N47"/>
    <mergeCell ref="B48:N49"/>
    <mergeCell ref="AC7:AJ8"/>
    <mergeCell ref="AN35:AO36"/>
    <mergeCell ref="AN33:AO34"/>
    <mergeCell ref="AN31:AO32"/>
    <mergeCell ref="AN29:AO30"/>
    <mergeCell ref="AN27:AO28"/>
    <mergeCell ref="AN25:AO26"/>
    <mergeCell ref="AN23:AO24"/>
    <mergeCell ref="AN21:AO22"/>
    <mergeCell ref="AN19:AO20"/>
    <mergeCell ref="AC15:AJ16"/>
    <mergeCell ref="AC13:AJ14"/>
    <mergeCell ref="AC43:AJ44"/>
    <mergeCell ref="AC41:AJ42"/>
    <mergeCell ref="AC39:AJ40"/>
    <mergeCell ref="AC37:AJ38"/>
    <mergeCell ref="AC35:AJ36"/>
    <mergeCell ref="AC17:AJ18"/>
    <mergeCell ref="AN43:AO44"/>
    <mergeCell ref="AC25:AJ26"/>
    <mergeCell ref="AC23:AJ24"/>
    <mergeCell ref="AC21:AJ22"/>
    <mergeCell ref="AC19:AJ20"/>
    <mergeCell ref="AC33:AJ34"/>
    <mergeCell ref="AC31:AJ32"/>
    <mergeCell ref="AC29:AJ30"/>
    <mergeCell ref="AC27:AJ28"/>
    <mergeCell ref="AN9:AO10"/>
    <mergeCell ref="AN5:AO6"/>
    <mergeCell ref="AK15:AL16"/>
    <mergeCell ref="AC9:AJ10"/>
    <mergeCell ref="AC11:AJ12"/>
    <mergeCell ref="AK13:AL14"/>
    <mergeCell ref="AK11:AL12"/>
    <mergeCell ref="AK9:AL10"/>
    <mergeCell ref="AP31:AQ32"/>
    <mergeCell ref="AP27:AQ28"/>
    <mergeCell ref="AP29:AQ30"/>
    <mergeCell ref="AK5:AL6"/>
    <mergeCell ref="AN7:AO8"/>
    <mergeCell ref="AK7:AL8"/>
    <mergeCell ref="AN17:AO18"/>
    <mergeCell ref="AN15:AO16"/>
    <mergeCell ref="AN13:AO14"/>
    <mergeCell ref="AN11:AO12"/>
    <mergeCell ref="V48:X49"/>
    <mergeCell ref="AP5:AQ6"/>
    <mergeCell ref="AP7:AQ8"/>
    <mergeCell ref="AP43:AQ44"/>
    <mergeCell ref="AP41:AQ42"/>
    <mergeCell ref="AP39:AQ40"/>
    <mergeCell ref="AP37:AQ38"/>
    <mergeCell ref="AP35:AQ36"/>
    <mergeCell ref="M20:X21"/>
    <mergeCell ref="AP33:AQ34"/>
    <mergeCell ref="S46:U47"/>
    <mergeCell ref="S58:U59"/>
    <mergeCell ref="S56:U57"/>
    <mergeCell ref="S54:U55"/>
    <mergeCell ref="S52:U53"/>
    <mergeCell ref="M14:R15"/>
    <mergeCell ref="S14:X15"/>
    <mergeCell ref="S16:X17"/>
    <mergeCell ref="M16:R17"/>
    <mergeCell ref="B14:F15"/>
    <mergeCell ref="G14:L15"/>
    <mergeCell ref="B16:F17"/>
    <mergeCell ref="G16:L17"/>
    <mergeCell ref="G18:L19"/>
    <mergeCell ref="G20:L21"/>
    <mergeCell ref="B18:F19"/>
    <mergeCell ref="B20:F21"/>
    <mergeCell ref="M18:X19"/>
    <mergeCell ref="B2:H3"/>
    <mergeCell ref="I2:X3"/>
    <mergeCell ref="B10:G11"/>
    <mergeCell ref="H10:X11"/>
    <mergeCell ref="Q6:X7"/>
    <mergeCell ref="F8:M9"/>
    <mergeCell ref="Q8:X9"/>
    <mergeCell ref="B4:D5"/>
    <mergeCell ref="I4:L5"/>
    <mergeCell ref="B28:C29"/>
    <mergeCell ref="B24:C25"/>
    <mergeCell ref="K24:M25"/>
    <mergeCell ref="N24:P25"/>
    <mergeCell ref="N26:P27"/>
    <mergeCell ref="B26:C27"/>
    <mergeCell ref="K26:M27"/>
    <mergeCell ref="K28:M29"/>
    <mergeCell ref="N28:P29"/>
    <mergeCell ref="N30:P31"/>
    <mergeCell ref="B32:C33"/>
    <mergeCell ref="K30:M31"/>
    <mergeCell ref="K32:M33"/>
    <mergeCell ref="N32:P33"/>
    <mergeCell ref="B30:C31"/>
    <mergeCell ref="B34:C35"/>
    <mergeCell ref="B36:C37"/>
    <mergeCell ref="S66:U67"/>
    <mergeCell ref="S62:U63"/>
    <mergeCell ref="S60:U61"/>
    <mergeCell ref="O62:Q63"/>
    <mergeCell ref="O46:Q47"/>
    <mergeCell ref="O48:Q49"/>
    <mergeCell ref="O52:Q53"/>
    <mergeCell ref="O44:Q45"/>
    <mergeCell ref="AN41:AO42"/>
    <mergeCell ref="V66:X67"/>
    <mergeCell ref="V64:X65"/>
    <mergeCell ref="V62:X63"/>
    <mergeCell ref="V60:X61"/>
    <mergeCell ref="V44:X45"/>
    <mergeCell ref="V58:X59"/>
    <mergeCell ref="V56:X57"/>
    <mergeCell ref="V54:X55"/>
    <mergeCell ref="V50:X51"/>
    <mergeCell ref="B66:N67"/>
    <mergeCell ref="B64:N65"/>
    <mergeCell ref="AP25:AQ26"/>
    <mergeCell ref="AK43:AL44"/>
    <mergeCell ref="AK41:AL42"/>
    <mergeCell ref="AK39:AL40"/>
    <mergeCell ref="AK37:AL38"/>
    <mergeCell ref="AK35:AL36"/>
    <mergeCell ref="AK33:AL34"/>
    <mergeCell ref="H38:J39"/>
    <mergeCell ref="O50:Q51"/>
    <mergeCell ref="O54:Q55"/>
    <mergeCell ref="O56:Q57"/>
    <mergeCell ref="B54:N55"/>
    <mergeCell ref="T111:V113"/>
    <mergeCell ref="O60:Q61"/>
    <mergeCell ref="O64:Q65"/>
    <mergeCell ref="O66:Q67"/>
    <mergeCell ref="S64:U65"/>
    <mergeCell ref="Q84:S85"/>
    <mergeCell ref="Q99:R100"/>
    <mergeCell ref="S103:U104"/>
    <mergeCell ref="Q95:R96"/>
    <mergeCell ref="Q97:R98"/>
    <mergeCell ref="W114:Y116"/>
    <mergeCell ref="Z114:AB116"/>
    <mergeCell ref="B111:B113"/>
    <mergeCell ref="C111:P113"/>
    <mergeCell ref="Q111:S113"/>
    <mergeCell ref="W111:Y113"/>
    <mergeCell ref="B114:B116"/>
    <mergeCell ref="C114:P116"/>
    <mergeCell ref="Q114:S116"/>
    <mergeCell ref="T114:V116"/>
    <mergeCell ref="Z129:AB131"/>
    <mergeCell ref="Q120:S122"/>
    <mergeCell ref="T120:V122"/>
    <mergeCell ref="W120:Y122"/>
    <mergeCell ref="Z120:AB122"/>
    <mergeCell ref="T123:V125"/>
    <mergeCell ref="W123:Y125"/>
    <mergeCell ref="Q123:S125"/>
    <mergeCell ref="W126:Y128"/>
    <mergeCell ref="T129:V131"/>
  </mergeCells>
  <conditionalFormatting sqref="R26">
    <cfRule type="expression" priority="1" dxfId="0" stopIfTrue="1">
      <formula>$R$26&lt;$S$44/2</formula>
    </cfRule>
    <cfRule type="expression" priority="2" dxfId="1" stopIfTrue="1">
      <formula>$R$26&lt;$S$44/4</formula>
    </cfRule>
  </conditionalFormatting>
  <printOptions horizontalCentered="1"/>
  <pageMargins left="0.25" right="0.25" top="0.75" bottom="0.25" header="0.25" footer="0.25"/>
  <pageSetup fitToHeight="1" fitToWidth="1" horizontalDpi="600" verticalDpi="600" orientation="landscape" scale="51" r:id="rId3"/>
  <headerFooter alignWithMargins="0">
    <oddHeader>&amp;C&amp;20FALLOUT PNP RPG - ЛИСТ ПЕРСОНАЖА - ЧАСТЬ 1</oddHead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32"/>
  <sheetViews>
    <sheetView showGridLines="0" zoomScale="92" zoomScaleNormal="92" workbookViewId="0" topLeftCell="A1">
      <selection activeCell="Z9" sqref="Z9"/>
    </sheetView>
  </sheetViews>
  <sheetFormatPr defaultColWidth="9.140625" defaultRowHeight="7.5" customHeight="1"/>
  <cols>
    <col min="1" max="5" width="2.7109375" style="10" customWidth="1"/>
    <col min="6" max="6" width="2.7109375" style="11" customWidth="1"/>
    <col min="7" max="48" width="2.7109375" style="10" customWidth="1"/>
    <col min="49" max="49" width="3.7109375" style="10" customWidth="1"/>
    <col min="50" max="51" width="2.7109375" style="10" customWidth="1"/>
    <col min="52" max="52" width="3.8515625" style="10" customWidth="1"/>
    <col min="53" max="16384" width="2.7109375" style="10" customWidth="1"/>
  </cols>
  <sheetData>
    <row r="1" spans="1:81" ht="7.5" customHeight="1" thickBot="1">
      <c r="A1" s="9"/>
      <c r="B1" s="12"/>
      <c r="C1" s="12"/>
      <c r="D1" s="12"/>
      <c r="E1" s="12"/>
      <c r="F1" s="27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8"/>
      <c r="Z1" s="34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39"/>
      <c r="AU1" s="12"/>
      <c r="AV1" s="12"/>
      <c r="AW1" s="40"/>
      <c r="AX1" s="40"/>
      <c r="AY1" s="40"/>
      <c r="AZ1" s="40"/>
      <c r="BA1" s="40"/>
      <c r="BB1" s="40"/>
      <c r="BC1" s="40"/>
      <c r="BD1" s="40"/>
      <c r="BE1" s="12"/>
      <c r="BF1" s="12"/>
      <c r="BG1" s="12"/>
      <c r="BH1" s="40"/>
      <c r="BI1" s="40"/>
      <c r="BJ1" s="12"/>
      <c r="BK1" s="12"/>
      <c r="BL1" s="12"/>
      <c r="BM1" s="12"/>
      <c r="BN1" s="12"/>
      <c r="BO1" s="12"/>
      <c r="BP1" s="12"/>
      <c r="BQ1" s="28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</row>
    <row r="2" spans="1:70" ht="7.5" customHeight="1" thickBot="1">
      <c r="A2" s="16"/>
      <c r="B2" s="484" t="s">
        <v>64</v>
      </c>
      <c r="C2" s="484"/>
      <c r="D2" s="484"/>
      <c r="E2" s="484"/>
      <c r="F2" s="484"/>
      <c r="G2" s="484"/>
      <c r="H2" s="484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29"/>
      <c r="Z2" s="19"/>
      <c r="AA2" s="189" t="s">
        <v>931</v>
      </c>
      <c r="AB2" s="190"/>
      <c r="AC2" s="190"/>
      <c r="AD2" s="190"/>
      <c r="AE2" s="190"/>
      <c r="AF2" s="193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5"/>
      <c r="AS2" s="13"/>
      <c r="AT2" s="13"/>
      <c r="AU2" s="13"/>
      <c r="AV2" s="13"/>
      <c r="AW2" s="13"/>
      <c r="AX2" s="14"/>
      <c r="AY2" s="14"/>
      <c r="AZ2" s="14"/>
      <c r="BA2" s="14"/>
      <c r="BB2" s="14"/>
      <c r="BC2" s="13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3"/>
      <c r="BQ2" s="29"/>
      <c r="BR2" s="13"/>
    </row>
    <row r="3" spans="1:70" ht="7.5" customHeight="1" thickBot="1">
      <c r="A3" s="16"/>
      <c r="B3" s="484"/>
      <c r="C3" s="484"/>
      <c r="D3" s="484"/>
      <c r="E3" s="484"/>
      <c r="F3" s="484"/>
      <c r="G3" s="484"/>
      <c r="H3" s="484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29"/>
      <c r="Z3" s="19"/>
      <c r="AA3" s="191"/>
      <c r="AB3" s="192"/>
      <c r="AC3" s="192"/>
      <c r="AD3" s="192"/>
      <c r="AE3" s="192"/>
      <c r="AF3" s="182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4"/>
      <c r="AS3" s="13"/>
      <c r="AT3" s="415" t="s">
        <v>274</v>
      </c>
      <c r="AU3" s="416"/>
      <c r="AV3" s="13"/>
      <c r="AW3" s="423" t="s">
        <v>305</v>
      </c>
      <c r="AX3" s="424"/>
      <c r="AY3" s="425"/>
      <c r="AZ3" s="14"/>
      <c r="BA3" s="423" t="s">
        <v>113</v>
      </c>
      <c r="BB3" s="424"/>
      <c r="BC3" s="424"/>
      <c r="BD3" s="424"/>
      <c r="BE3" s="424"/>
      <c r="BF3" s="424"/>
      <c r="BG3" s="425"/>
      <c r="BH3" s="14"/>
      <c r="BI3" s="423" t="s">
        <v>306</v>
      </c>
      <c r="BJ3" s="424"/>
      <c r="BK3" s="424"/>
      <c r="BL3" s="424"/>
      <c r="BM3" s="424"/>
      <c r="BN3" s="424"/>
      <c r="BO3" s="425"/>
      <c r="BP3" s="13"/>
      <c r="BQ3" s="29"/>
      <c r="BR3" s="13"/>
    </row>
    <row r="4" spans="1:70" ht="7.5" customHeight="1" thickBot="1">
      <c r="A4" s="16"/>
      <c r="B4" s="377" t="s">
        <v>65</v>
      </c>
      <c r="C4" s="377"/>
      <c r="D4" s="377"/>
      <c r="E4" s="227"/>
      <c r="F4" s="227"/>
      <c r="G4" s="227"/>
      <c r="H4" s="227"/>
      <c r="I4" s="377" t="s">
        <v>66</v>
      </c>
      <c r="J4" s="377"/>
      <c r="K4" s="377"/>
      <c r="L4" s="377"/>
      <c r="M4" s="413"/>
      <c r="N4" s="413"/>
      <c r="O4" s="413"/>
      <c r="P4" s="413"/>
      <c r="Q4" s="377" t="s">
        <v>70</v>
      </c>
      <c r="R4" s="377"/>
      <c r="S4" s="377"/>
      <c r="T4" s="377"/>
      <c r="U4" s="413"/>
      <c r="V4" s="413"/>
      <c r="W4" s="413"/>
      <c r="X4" s="413"/>
      <c r="Y4" s="29"/>
      <c r="Z4" s="19"/>
      <c r="AA4" s="15"/>
      <c r="AB4" s="15"/>
      <c r="AC4" s="15"/>
      <c r="AD4" s="15"/>
      <c r="AE4" s="15"/>
      <c r="AF4" s="15"/>
      <c r="AG4" s="15"/>
      <c r="AH4" s="15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417"/>
      <c r="AU4" s="418"/>
      <c r="AV4" s="13"/>
      <c r="AW4" s="426"/>
      <c r="AX4" s="427"/>
      <c r="AY4" s="428"/>
      <c r="AZ4" s="13"/>
      <c r="BA4" s="426"/>
      <c r="BB4" s="427"/>
      <c r="BC4" s="427"/>
      <c r="BD4" s="427"/>
      <c r="BE4" s="427"/>
      <c r="BF4" s="427"/>
      <c r="BG4" s="428"/>
      <c r="BH4" s="13"/>
      <c r="BI4" s="426"/>
      <c r="BJ4" s="427"/>
      <c r="BK4" s="427"/>
      <c r="BL4" s="427"/>
      <c r="BM4" s="427"/>
      <c r="BN4" s="427"/>
      <c r="BO4" s="428"/>
      <c r="BP4" s="13"/>
      <c r="BQ4" s="29"/>
      <c r="BR4" s="13"/>
    </row>
    <row r="5" spans="1:70" ht="7.5" customHeight="1">
      <c r="A5" s="16"/>
      <c r="B5" s="377"/>
      <c r="C5" s="377"/>
      <c r="D5" s="377"/>
      <c r="E5" s="227"/>
      <c r="F5" s="227"/>
      <c r="G5" s="227"/>
      <c r="H5" s="227"/>
      <c r="I5" s="377"/>
      <c r="J5" s="377"/>
      <c r="K5" s="377"/>
      <c r="L5" s="377"/>
      <c r="M5" s="413"/>
      <c r="N5" s="413"/>
      <c r="O5" s="413"/>
      <c r="P5" s="413"/>
      <c r="Q5" s="377"/>
      <c r="R5" s="377"/>
      <c r="S5" s="377"/>
      <c r="T5" s="377"/>
      <c r="U5" s="413"/>
      <c r="V5" s="413"/>
      <c r="W5" s="413"/>
      <c r="X5" s="413"/>
      <c r="Y5" s="29"/>
      <c r="Z5" s="19"/>
      <c r="AA5" s="17"/>
      <c r="AB5" s="17"/>
      <c r="AC5" s="419" t="s">
        <v>73</v>
      </c>
      <c r="AD5" s="420"/>
      <c r="AE5" s="420"/>
      <c r="AF5" s="420"/>
      <c r="AG5" s="420"/>
      <c r="AH5" s="420"/>
      <c r="AI5" s="420"/>
      <c r="AJ5" s="420"/>
      <c r="AK5" s="474" t="s">
        <v>222</v>
      </c>
      <c r="AL5" s="475"/>
      <c r="AM5" s="13"/>
      <c r="AN5" s="415" t="s">
        <v>74</v>
      </c>
      <c r="AO5" s="442"/>
      <c r="AP5" s="479" t="s">
        <v>8</v>
      </c>
      <c r="AQ5" s="416"/>
      <c r="AR5" s="13"/>
      <c r="AS5" s="13"/>
      <c r="AT5" s="409" t="s">
        <v>275</v>
      </c>
      <c r="AU5" s="410"/>
      <c r="AV5" s="13"/>
      <c r="AW5" s="429">
        <f>IF(M20&gt;0,M20*(B16-1),0)</f>
        <v>0</v>
      </c>
      <c r="AX5" s="429"/>
      <c r="AY5" s="429"/>
      <c r="AZ5" s="5"/>
      <c r="BA5" s="431">
        <f>SUM(AX7:AY44,BB7:BC44,BF7:BG44,BJ7:BK44,BN7:BO44)</f>
        <v>0</v>
      </c>
      <c r="BB5" s="431"/>
      <c r="BC5" s="431"/>
      <c r="BD5" s="431"/>
      <c r="BE5" s="431"/>
      <c r="BF5" s="431"/>
      <c r="BG5" s="431"/>
      <c r="BH5" s="5"/>
      <c r="BI5" s="431">
        <f>AW5-BA5</f>
        <v>0</v>
      </c>
      <c r="BJ5" s="431"/>
      <c r="BK5" s="431"/>
      <c r="BL5" s="431"/>
      <c r="BM5" s="431"/>
      <c r="BN5" s="431"/>
      <c r="BO5" s="431"/>
      <c r="BP5" s="13"/>
      <c r="BQ5" s="29"/>
      <c r="BR5" s="13"/>
    </row>
    <row r="6" spans="1:70" ht="9" customHeight="1" thickBot="1">
      <c r="A6" s="16"/>
      <c r="B6" s="377" t="s">
        <v>68</v>
      </c>
      <c r="C6" s="377"/>
      <c r="D6" s="377"/>
      <c r="E6" s="466"/>
      <c r="F6" s="466"/>
      <c r="G6" s="466"/>
      <c r="H6" s="466"/>
      <c r="I6" s="466"/>
      <c r="J6" s="466"/>
      <c r="K6" s="466"/>
      <c r="L6" s="466"/>
      <c r="M6" s="466"/>
      <c r="N6" s="377" t="s">
        <v>69</v>
      </c>
      <c r="O6" s="377"/>
      <c r="P6" s="377"/>
      <c r="Q6" s="407"/>
      <c r="R6" s="407"/>
      <c r="S6" s="407"/>
      <c r="T6" s="407"/>
      <c r="U6" s="407"/>
      <c r="V6" s="407"/>
      <c r="W6" s="407"/>
      <c r="X6" s="407"/>
      <c r="Y6" s="29"/>
      <c r="Z6" s="19"/>
      <c r="AA6" s="17"/>
      <c r="AB6" s="17"/>
      <c r="AC6" s="421"/>
      <c r="AD6" s="422"/>
      <c r="AE6" s="422"/>
      <c r="AF6" s="422"/>
      <c r="AG6" s="422"/>
      <c r="AH6" s="422"/>
      <c r="AI6" s="422"/>
      <c r="AJ6" s="422"/>
      <c r="AK6" s="476"/>
      <c r="AL6" s="477"/>
      <c r="AM6" s="13"/>
      <c r="AN6" s="443"/>
      <c r="AO6" s="444"/>
      <c r="AP6" s="480"/>
      <c r="AQ6" s="418"/>
      <c r="AR6" s="13"/>
      <c r="AS6" s="13"/>
      <c r="AT6" s="411"/>
      <c r="AU6" s="412"/>
      <c r="AV6" s="13"/>
      <c r="AW6" s="430"/>
      <c r="AX6" s="430"/>
      <c r="AY6" s="430"/>
      <c r="AZ6" s="5"/>
      <c r="BA6" s="432"/>
      <c r="BB6" s="432"/>
      <c r="BC6" s="432"/>
      <c r="BD6" s="432"/>
      <c r="BE6" s="432"/>
      <c r="BF6" s="432"/>
      <c r="BG6" s="432"/>
      <c r="BH6" s="5"/>
      <c r="BI6" s="432"/>
      <c r="BJ6" s="432"/>
      <c r="BK6" s="432"/>
      <c r="BL6" s="432"/>
      <c r="BM6" s="432"/>
      <c r="BN6" s="432"/>
      <c r="BO6" s="432"/>
      <c r="BP6" s="13"/>
      <c r="BQ6" s="29"/>
      <c r="BR6" s="13"/>
    </row>
    <row r="7" spans="1:70" ht="8.25" customHeight="1">
      <c r="A7" s="16"/>
      <c r="B7" s="377"/>
      <c r="C7" s="377"/>
      <c r="D7" s="377"/>
      <c r="E7" s="466"/>
      <c r="F7" s="466"/>
      <c r="G7" s="466"/>
      <c r="H7" s="466"/>
      <c r="I7" s="466"/>
      <c r="J7" s="466"/>
      <c r="K7" s="466"/>
      <c r="L7" s="466"/>
      <c r="M7" s="466"/>
      <c r="N7" s="377"/>
      <c r="O7" s="377"/>
      <c r="P7" s="377"/>
      <c r="Q7" s="407"/>
      <c r="R7" s="407"/>
      <c r="S7" s="407"/>
      <c r="T7" s="407"/>
      <c r="U7" s="407"/>
      <c r="V7" s="407"/>
      <c r="W7" s="407"/>
      <c r="X7" s="407"/>
      <c r="Y7" s="29"/>
      <c r="Z7" s="19"/>
      <c r="AA7" s="15"/>
      <c r="AB7" s="15"/>
      <c r="AC7" s="286" t="s">
        <v>256</v>
      </c>
      <c r="AD7" s="286"/>
      <c r="AE7" s="286"/>
      <c r="AF7" s="286"/>
      <c r="AG7" s="286"/>
      <c r="AH7" s="286"/>
      <c r="AI7" s="286"/>
      <c r="AJ7" s="286"/>
      <c r="AK7" s="478">
        <f>SUM(AN7:AQ8)+IF(Таблицы!BE35=1,Таблицы!BE32,0)+AT7</f>
        <v>25</v>
      </c>
      <c r="AL7" s="478"/>
      <c r="AM7" s="13"/>
      <c r="AN7" s="287">
        <f>IF(D36=0,"",5+(D36*4)+Таблицы!M150+Таблицы!U150)</f>
        <v>25</v>
      </c>
      <c r="AO7" s="287"/>
      <c r="AP7" s="481"/>
      <c r="AQ7" s="481"/>
      <c r="AR7" s="13"/>
      <c r="AS7" s="13"/>
      <c r="AT7" s="287">
        <f>IF(Таблицы!M150=20,SUM(AX7*2,BB7*2/2,INT(BF7*2/3),INT(BJ7*2/4),INT(BN7*2/5)),SUM(AX7,INT(BB7/2),INT(BF7/3),INT(BJ7/4),INT(BN7/5)))</f>
        <v>0</v>
      </c>
      <c r="AU7" s="287"/>
      <c r="AV7" s="13"/>
      <c r="AW7" s="433" t="s">
        <v>108</v>
      </c>
      <c r="AX7" s="414"/>
      <c r="AY7" s="414"/>
      <c r="AZ7" s="13"/>
      <c r="BA7" s="433" t="s">
        <v>109</v>
      </c>
      <c r="BB7" s="414"/>
      <c r="BC7" s="414"/>
      <c r="BD7" s="13"/>
      <c r="BE7" s="433" t="s">
        <v>110</v>
      </c>
      <c r="BF7" s="414"/>
      <c r="BG7" s="414"/>
      <c r="BH7" s="13"/>
      <c r="BI7" s="433" t="s">
        <v>111</v>
      </c>
      <c r="BJ7" s="414"/>
      <c r="BK7" s="414"/>
      <c r="BL7" s="13"/>
      <c r="BM7" s="433" t="s">
        <v>112</v>
      </c>
      <c r="BN7" s="414"/>
      <c r="BO7" s="414"/>
      <c r="BP7" s="13"/>
      <c r="BQ7" s="29"/>
      <c r="BR7" s="13"/>
    </row>
    <row r="8" spans="1:70" ht="7.5" customHeight="1">
      <c r="A8" s="16"/>
      <c r="B8" s="377" t="s">
        <v>71</v>
      </c>
      <c r="C8" s="377"/>
      <c r="D8" s="377"/>
      <c r="E8" s="377"/>
      <c r="F8" s="466"/>
      <c r="G8" s="466"/>
      <c r="H8" s="466"/>
      <c r="I8" s="466"/>
      <c r="J8" s="466"/>
      <c r="K8" s="466"/>
      <c r="L8" s="466"/>
      <c r="M8" s="466"/>
      <c r="N8" s="377" t="s">
        <v>67</v>
      </c>
      <c r="O8" s="377"/>
      <c r="P8" s="377"/>
      <c r="Q8" s="466"/>
      <c r="R8" s="466"/>
      <c r="S8" s="466"/>
      <c r="T8" s="466"/>
      <c r="U8" s="466"/>
      <c r="V8" s="466"/>
      <c r="W8" s="466"/>
      <c r="X8" s="466"/>
      <c r="Y8" s="29"/>
      <c r="Z8" s="19"/>
      <c r="AA8" s="15"/>
      <c r="AB8" s="15"/>
      <c r="AC8" s="172"/>
      <c r="AD8" s="172"/>
      <c r="AE8" s="172"/>
      <c r="AF8" s="172"/>
      <c r="AG8" s="172"/>
      <c r="AH8" s="172"/>
      <c r="AI8" s="172"/>
      <c r="AJ8" s="172"/>
      <c r="AK8" s="435"/>
      <c r="AL8" s="435"/>
      <c r="AM8" s="13"/>
      <c r="AN8" s="228"/>
      <c r="AO8" s="228"/>
      <c r="AP8" s="436"/>
      <c r="AQ8" s="436"/>
      <c r="AR8" s="15"/>
      <c r="AS8" s="15"/>
      <c r="AT8" s="228"/>
      <c r="AU8" s="228"/>
      <c r="AV8" s="13"/>
      <c r="AW8" s="434"/>
      <c r="AX8" s="413"/>
      <c r="AY8" s="413"/>
      <c r="AZ8" s="13"/>
      <c r="BA8" s="434"/>
      <c r="BB8" s="413"/>
      <c r="BC8" s="413"/>
      <c r="BD8" s="13"/>
      <c r="BE8" s="434"/>
      <c r="BF8" s="413"/>
      <c r="BG8" s="413"/>
      <c r="BH8" s="13"/>
      <c r="BI8" s="434"/>
      <c r="BJ8" s="413"/>
      <c r="BK8" s="413"/>
      <c r="BL8" s="13"/>
      <c r="BM8" s="434"/>
      <c r="BN8" s="413"/>
      <c r="BO8" s="413"/>
      <c r="BP8" s="13"/>
      <c r="BQ8" s="29"/>
      <c r="BR8" s="13"/>
    </row>
    <row r="9" spans="1:70" ht="7.5" customHeight="1">
      <c r="A9" s="16"/>
      <c r="B9" s="377"/>
      <c r="C9" s="377"/>
      <c r="D9" s="377"/>
      <c r="E9" s="377"/>
      <c r="F9" s="466"/>
      <c r="G9" s="466"/>
      <c r="H9" s="466"/>
      <c r="I9" s="466"/>
      <c r="J9" s="466"/>
      <c r="K9" s="466"/>
      <c r="L9" s="466"/>
      <c r="M9" s="466"/>
      <c r="N9" s="377"/>
      <c r="O9" s="377"/>
      <c r="P9" s="377"/>
      <c r="Q9" s="466"/>
      <c r="R9" s="466"/>
      <c r="S9" s="466"/>
      <c r="T9" s="466"/>
      <c r="U9" s="466"/>
      <c r="V9" s="466"/>
      <c r="W9" s="466"/>
      <c r="X9" s="466"/>
      <c r="Y9" s="29"/>
      <c r="Z9" s="19"/>
      <c r="AA9" s="15"/>
      <c r="AB9" s="15"/>
      <c r="AC9" s="172" t="s">
        <v>255</v>
      </c>
      <c r="AD9" s="172"/>
      <c r="AE9" s="172"/>
      <c r="AF9" s="172"/>
      <c r="AG9" s="172"/>
      <c r="AH9" s="172"/>
      <c r="AI9" s="172"/>
      <c r="AJ9" s="172"/>
      <c r="AK9" s="435">
        <f>SUM(AN9:AQ10)+IF(Таблицы!BE35=2,Таблицы!BE32,0)+AT9</f>
        <v>10</v>
      </c>
      <c r="AL9" s="435"/>
      <c r="AM9" s="13"/>
      <c r="AN9" s="228">
        <f>IF(D36=0,"",(D36*2)+Таблицы!M151+Таблицы!U151)</f>
        <v>10</v>
      </c>
      <c r="AO9" s="228"/>
      <c r="AP9" s="436"/>
      <c r="AQ9" s="436"/>
      <c r="AR9" s="13"/>
      <c r="AS9" s="13"/>
      <c r="AT9" s="287">
        <f>IF(Таблицы!M151=20,SUM(AX9*2,BB9*2/2,INT(BF9*2/3),INT(BJ9*2/4),INT(BN9*2/5)),SUM(AX9,INT(BB9/2),INT(BF9/3),INT(BJ9/4),INT(BN9/5)))</f>
        <v>0</v>
      </c>
      <c r="AU9" s="287"/>
      <c r="AV9" s="13"/>
      <c r="AW9" s="434"/>
      <c r="AX9" s="413"/>
      <c r="AY9" s="413"/>
      <c r="AZ9" s="13"/>
      <c r="BA9" s="434"/>
      <c r="BB9" s="413"/>
      <c r="BC9" s="413"/>
      <c r="BD9" s="13"/>
      <c r="BE9" s="434"/>
      <c r="BF9" s="413"/>
      <c r="BG9" s="413"/>
      <c r="BH9" s="13"/>
      <c r="BI9" s="434"/>
      <c r="BJ9" s="413"/>
      <c r="BK9" s="413"/>
      <c r="BL9" s="13"/>
      <c r="BM9" s="434"/>
      <c r="BN9" s="413"/>
      <c r="BO9" s="413"/>
      <c r="BP9" s="13"/>
      <c r="BQ9" s="29"/>
      <c r="BR9" s="13"/>
    </row>
    <row r="10" spans="1:70" ht="7.5" customHeight="1">
      <c r="A10" s="16"/>
      <c r="B10" s="377" t="s">
        <v>221</v>
      </c>
      <c r="C10" s="377"/>
      <c r="D10" s="377"/>
      <c r="E10" s="377"/>
      <c r="F10" s="377"/>
      <c r="G10" s="377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29"/>
      <c r="Z10" s="19"/>
      <c r="AA10" s="15"/>
      <c r="AB10" s="15"/>
      <c r="AC10" s="172"/>
      <c r="AD10" s="172"/>
      <c r="AE10" s="172"/>
      <c r="AF10" s="172"/>
      <c r="AG10" s="172"/>
      <c r="AH10" s="172"/>
      <c r="AI10" s="172"/>
      <c r="AJ10" s="172"/>
      <c r="AK10" s="435"/>
      <c r="AL10" s="435"/>
      <c r="AM10" s="13"/>
      <c r="AN10" s="228"/>
      <c r="AO10" s="228"/>
      <c r="AP10" s="436"/>
      <c r="AQ10" s="436"/>
      <c r="AR10" s="15"/>
      <c r="AS10" s="13"/>
      <c r="AT10" s="228"/>
      <c r="AU10" s="228"/>
      <c r="AV10" s="13"/>
      <c r="AW10" s="434"/>
      <c r="AX10" s="413"/>
      <c r="AY10" s="413"/>
      <c r="AZ10" s="13"/>
      <c r="BA10" s="434"/>
      <c r="BB10" s="413"/>
      <c r="BC10" s="413"/>
      <c r="BD10" s="13"/>
      <c r="BE10" s="434"/>
      <c r="BF10" s="413"/>
      <c r="BG10" s="413"/>
      <c r="BH10" s="13"/>
      <c r="BI10" s="434"/>
      <c r="BJ10" s="413"/>
      <c r="BK10" s="413"/>
      <c r="BL10" s="13"/>
      <c r="BM10" s="434"/>
      <c r="BN10" s="413"/>
      <c r="BO10" s="413"/>
      <c r="BP10" s="13"/>
      <c r="BQ10" s="29"/>
      <c r="BR10" s="13"/>
    </row>
    <row r="11" spans="1:70" ht="7.5" customHeight="1">
      <c r="A11" s="16"/>
      <c r="B11" s="377"/>
      <c r="C11" s="377"/>
      <c r="D11" s="377"/>
      <c r="E11" s="377"/>
      <c r="F11" s="377"/>
      <c r="G11" s="377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29"/>
      <c r="Z11" s="19"/>
      <c r="AA11" s="15"/>
      <c r="AB11" s="15"/>
      <c r="AC11" s="172" t="s">
        <v>77</v>
      </c>
      <c r="AD11" s="172"/>
      <c r="AE11" s="172"/>
      <c r="AF11" s="172"/>
      <c r="AG11" s="172"/>
      <c r="AH11" s="172"/>
      <c r="AI11" s="172"/>
      <c r="AJ11" s="172"/>
      <c r="AK11" s="435">
        <f>SUM(AN11:AQ12)+IF(Таблицы!BE35=3,Таблицы!BE32,0)+AT11</f>
        <v>10</v>
      </c>
      <c r="AL11" s="435"/>
      <c r="AM11" s="13"/>
      <c r="AN11" s="228">
        <f>IF(D36=0,"",(D36*2)+Таблицы!M152+Таблицы!U152)</f>
        <v>10</v>
      </c>
      <c r="AO11" s="228"/>
      <c r="AP11" s="436"/>
      <c r="AQ11" s="436"/>
      <c r="AR11" s="13"/>
      <c r="AS11" s="13"/>
      <c r="AT11" s="287">
        <f>IF(Таблицы!M152=20,SUM(AX11*2,BB11*2/2,INT(BF11*2/3),INT(BJ11*2/4),INT(BN11*2/5)),SUM(AX11,INT(BB11/2),INT(BF11/3),INT(BJ11/4),INT(BN11/5)))</f>
        <v>0</v>
      </c>
      <c r="AU11" s="287"/>
      <c r="AV11" s="13"/>
      <c r="AW11" s="434"/>
      <c r="AX11" s="413"/>
      <c r="AY11" s="413"/>
      <c r="AZ11" s="13"/>
      <c r="BA11" s="434"/>
      <c r="BB11" s="413"/>
      <c r="BC11" s="413"/>
      <c r="BD11" s="13"/>
      <c r="BE11" s="434"/>
      <c r="BF11" s="413"/>
      <c r="BG11" s="413"/>
      <c r="BH11" s="13"/>
      <c r="BI11" s="434"/>
      <c r="BJ11" s="413"/>
      <c r="BK11" s="413"/>
      <c r="BL11" s="13"/>
      <c r="BM11" s="434"/>
      <c r="BN11" s="413"/>
      <c r="BO11" s="413"/>
      <c r="BP11" s="13"/>
      <c r="BQ11" s="29"/>
      <c r="BR11" s="13"/>
    </row>
    <row r="12" spans="1:70" ht="7.5" customHeight="1">
      <c r="A12" s="69"/>
      <c r="B12" s="46"/>
      <c r="C12" s="46"/>
      <c r="D12" s="46"/>
      <c r="E12" s="46"/>
      <c r="F12" s="68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70"/>
      <c r="Z12" s="41"/>
      <c r="AA12" s="15"/>
      <c r="AB12" s="15"/>
      <c r="AC12" s="172"/>
      <c r="AD12" s="172"/>
      <c r="AE12" s="172"/>
      <c r="AF12" s="172"/>
      <c r="AG12" s="172"/>
      <c r="AH12" s="172"/>
      <c r="AI12" s="172"/>
      <c r="AJ12" s="172"/>
      <c r="AK12" s="435"/>
      <c r="AL12" s="435"/>
      <c r="AM12" s="13"/>
      <c r="AN12" s="228"/>
      <c r="AO12" s="228"/>
      <c r="AP12" s="436"/>
      <c r="AQ12" s="436"/>
      <c r="AR12" s="15"/>
      <c r="AS12" s="13"/>
      <c r="AT12" s="228"/>
      <c r="AU12" s="228"/>
      <c r="AV12" s="13"/>
      <c r="AW12" s="434"/>
      <c r="AX12" s="413"/>
      <c r="AY12" s="413"/>
      <c r="AZ12" s="13"/>
      <c r="BA12" s="434"/>
      <c r="BB12" s="413"/>
      <c r="BC12" s="413"/>
      <c r="BD12" s="13"/>
      <c r="BE12" s="434"/>
      <c r="BF12" s="413"/>
      <c r="BG12" s="413"/>
      <c r="BH12" s="13"/>
      <c r="BI12" s="434"/>
      <c r="BJ12" s="413"/>
      <c r="BK12" s="413"/>
      <c r="BL12" s="13"/>
      <c r="BM12" s="434"/>
      <c r="BN12" s="413"/>
      <c r="BO12" s="413"/>
      <c r="BP12" s="13"/>
      <c r="BQ12" s="29"/>
      <c r="BR12" s="13"/>
    </row>
    <row r="13" spans="1:70" ht="7.5" customHeight="1" thickBot="1">
      <c r="A13" s="16"/>
      <c r="B13" s="13"/>
      <c r="C13" s="13"/>
      <c r="D13" s="13"/>
      <c r="E13" s="13"/>
      <c r="F13" s="35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36"/>
      <c r="Z13" s="41"/>
      <c r="AA13" s="15"/>
      <c r="AB13" s="15"/>
      <c r="AC13" s="172" t="s">
        <v>76</v>
      </c>
      <c r="AD13" s="172"/>
      <c r="AE13" s="172"/>
      <c r="AF13" s="172"/>
      <c r="AG13" s="172"/>
      <c r="AH13" s="172"/>
      <c r="AI13" s="172"/>
      <c r="AJ13" s="172"/>
      <c r="AK13" s="435">
        <f>SUM(AN13:AQ14)+IF(Таблицы!BE35=4,Таблицы!BE32,0)+AT13</f>
        <v>50</v>
      </c>
      <c r="AL13" s="435"/>
      <c r="AM13" s="13"/>
      <c r="AN13" s="228">
        <f>IF(D36=0,"",30+(2*SUM(D36,D26)+Таблицы!M153+Таблицы!U153))</f>
        <v>50</v>
      </c>
      <c r="AO13" s="228"/>
      <c r="AP13" s="436"/>
      <c r="AQ13" s="436"/>
      <c r="AR13" s="13"/>
      <c r="AS13" s="13"/>
      <c r="AT13" s="287">
        <f>IF(Таблицы!M153=20,SUM(AX13*2,BB13*2/2,INT(BF13*2/3),INT(BJ13*2/4),INT(BN13*2/5)),SUM(AX13,INT(BB13/2),INT(BF13/3),INT(BJ13/4),INT(BN13/5)))</f>
        <v>0</v>
      </c>
      <c r="AU13" s="287"/>
      <c r="AV13" s="13"/>
      <c r="AW13" s="434"/>
      <c r="AX13" s="413"/>
      <c r="AY13" s="413"/>
      <c r="AZ13" s="13"/>
      <c r="BA13" s="434"/>
      <c r="BB13" s="413"/>
      <c r="BC13" s="413"/>
      <c r="BD13" s="13"/>
      <c r="BE13" s="434"/>
      <c r="BF13" s="413"/>
      <c r="BG13" s="413"/>
      <c r="BH13" s="13"/>
      <c r="BI13" s="434"/>
      <c r="BJ13" s="413"/>
      <c r="BK13" s="413"/>
      <c r="BL13" s="13"/>
      <c r="BM13" s="434"/>
      <c r="BN13" s="413"/>
      <c r="BO13" s="413"/>
      <c r="BP13" s="13"/>
      <c r="BQ13" s="29"/>
      <c r="BR13" s="13"/>
    </row>
    <row r="14" spans="1:70" ht="7.5" customHeight="1">
      <c r="A14" s="16"/>
      <c r="B14" s="448" t="s">
        <v>58</v>
      </c>
      <c r="C14" s="449"/>
      <c r="D14" s="449"/>
      <c r="E14" s="449"/>
      <c r="F14" s="449"/>
      <c r="G14" s="449" t="s">
        <v>59</v>
      </c>
      <c r="H14" s="449"/>
      <c r="I14" s="449"/>
      <c r="J14" s="449"/>
      <c r="K14" s="449"/>
      <c r="L14" s="449"/>
      <c r="M14" s="449" t="s">
        <v>60</v>
      </c>
      <c r="N14" s="449"/>
      <c r="O14" s="449"/>
      <c r="P14" s="449"/>
      <c r="Q14" s="449"/>
      <c r="R14" s="449"/>
      <c r="S14" s="449" t="s">
        <v>61</v>
      </c>
      <c r="T14" s="449"/>
      <c r="U14" s="449"/>
      <c r="V14" s="449"/>
      <c r="W14" s="449"/>
      <c r="X14" s="450"/>
      <c r="Y14" s="29"/>
      <c r="Z14" s="19"/>
      <c r="AA14" s="15"/>
      <c r="AB14" s="15"/>
      <c r="AC14" s="172"/>
      <c r="AD14" s="172"/>
      <c r="AE14" s="172"/>
      <c r="AF14" s="172"/>
      <c r="AG14" s="172"/>
      <c r="AH14" s="172"/>
      <c r="AI14" s="172"/>
      <c r="AJ14" s="172"/>
      <c r="AK14" s="435"/>
      <c r="AL14" s="435"/>
      <c r="AM14" s="13"/>
      <c r="AN14" s="228"/>
      <c r="AO14" s="228"/>
      <c r="AP14" s="436"/>
      <c r="AQ14" s="436"/>
      <c r="AR14" s="15"/>
      <c r="AS14" s="13"/>
      <c r="AT14" s="228"/>
      <c r="AU14" s="228"/>
      <c r="AV14" s="13"/>
      <c r="AW14" s="434"/>
      <c r="AX14" s="413"/>
      <c r="AY14" s="413"/>
      <c r="AZ14" s="13"/>
      <c r="BA14" s="434"/>
      <c r="BB14" s="413"/>
      <c r="BC14" s="413"/>
      <c r="BD14" s="13"/>
      <c r="BE14" s="434"/>
      <c r="BF14" s="413"/>
      <c r="BG14" s="413"/>
      <c r="BH14" s="13"/>
      <c r="BI14" s="434"/>
      <c r="BJ14" s="413"/>
      <c r="BK14" s="413"/>
      <c r="BL14" s="13"/>
      <c r="BM14" s="434"/>
      <c r="BN14" s="413"/>
      <c r="BO14" s="413"/>
      <c r="BP14" s="13"/>
      <c r="BQ14" s="29"/>
      <c r="BR14" s="13"/>
    </row>
    <row r="15" spans="1:70" ht="7.5" customHeight="1" thickBot="1">
      <c r="A15" s="16"/>
      <c r="B15" s="451"/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3"/>
      <c r="Y15" s="29"/>
      <c r="Z15" s="19"/>
      <c r="AA15" s="15"/>
      <c r="AB15" s="15"/>
      <c r="AC15" s="172" t="s">
        <v>78</v>
      </c>
      <c r="AD15" s="172"/>
      <c r="AE15" s="172"/>
      <c r="AF15" s="172"/>
      <c r="AG15" s="172"/>
      <c r="AH15" s="172"/>
      <c r="AI15" s="172"/>
      <c r="AJ15" s="172"/>
      <c r="AK15" s="435">
        <f>SUM(AN15:AQ16)+IF(Таблицы!BE35=5,Таблицы!BE32,0)+AT15</f>
        <v>40</v>
      </c>
      <c r="AL15" s="435"/>
      <c r="AM15" s="13"/>
      <c r="AN15" s="228">
        <f>IF(D36=0,"",20+(2*SUM(D36,D26)+Таблицы!M154+Таблицы!U154))</f>
        <v>40</v>
      </c>
      <c r="AO15" s="228"/>
      <c r="AP15" s="436"/>
      <c r="AQ15" s="436"/>
      <c r="AR15" s="13"/>
      <c r="AS15" s="13"/>
      <c r="AT15" s="287">
        <f>IF(Таблицы!M154=20,SUM(AX15*2,BB15*2/2,INT(BF15*2/3),INT(BJ15*2/4),INT(BN15*2/5)),SUM(AX15,INT(BB15/2),INT(BF15/3),INT(BJ15/4),INT(BN15/5)))</f>
        <v>0</v>
      </c>
      <c r="AU15" s="287"/>
      <c r="AV15" s="13"/>
      <c r="AW15" s="434"/>
      <c r="AX15" s="413"/>
      <c r="AY15" s="413"/>
      <c r="AZ15" s="13"/>
      <c r="BA15" s="434"/>
      <c r="BB15" s="413"/>
      <c r="BC15" s="413"/>
      <c r="BD15" s="13"/>
      <c r="BE15" s="434"/>
      <c r="BF15" s="413"/>
      <c r="BG15" s="413"/>
      <c r="BH15" s="13"/>
      <c r="BI15" s="434"/>
      <c r="BJ15" s="413"/>
      <c r="BK15" s="413"/>
      <c r="BL15" s="13"/>
      <c r="BM15" s="434"/>
      <c r="BN15" s="413"/>
      <c r="BO15" s="413"/>
      <c r="BP15" s="13"/>
      <c r="BQ15" s="29"/>
      <c r="BR15" s="13"/>
    </row>
    <row r="16" spans="1:70" ht="6.75" customHeight="1">
      <c r="A16" s="19"/>
      <c r="B16" s="287">
        <f>VLOOKUP(G16,Таблицы!A2:B32,2,TRUE)</f>
        <v>1</v>
      </c>
      <c r="C16" s="287"/>
      <c r="D16" s="287"/>
      <c r="E16" s="287"/>
      <c r="F16" s="287"/>
      <c r="G16" s="254">
        <v>0</v>
      </c>
      <c r="H16" s="254"/>
      <c r="I16" s="254"/>
      <c r="J16" s="254"/>
      <c r="K16" s="254"/>
      <c r="L16" s="254"/>
      <c r="M16" s="287">
        <f>VLOOKUP(B16+1,Таблицы!B2:C32,2,FALSE)</f>
        <v>1000</v>
      </c>
      <c r="N16" s="287"/>
      <c r="O16" s="287"/>
      <c r="P16" s="287"/>
      <c r="Q16" s="287"/>
      <c r="R16" s="287"/>
      <c r="S16" s="254"/>
      <c r="T16" s="254"/>
      <c r="U16" s="254"/>
      <c r="V16" s="254"/>
      <c r="W16" s="254"/>
      <c r="X16" s="254"/>
      <c r="Y16" s="29"/>
      <c r="Z16" s="19"/>
      <c r="AA16" s="15"/>
      <c r="AB16" s="15"/>
      <c r="AC16" s="172"/>
      <c r="AD16" s="172"/>
      <c r="AE16" s="172"/>
      <c r="AF16" s="172"/>
      <c r="AG16" s="172"/>
      <c r="AH16" s="172"/>
      <c r="AI16" s="172"/>
      <c r="AJ16" s="172"/>
      <c r="AK16" s="435"/>
      <c r="AL16" s="435"/>
      <c r="AM16" s="13"/>
      <c r="AN16" s="228"/>
      <c r="AO16" s="228"/>
      <c r="AP16" s="436"/>
      <c r="AQ16" s="436"/>
      <c r="AR16" s="15"/>
      <c r="AS16" s="13"/>
      <c r="AT16" s="228"/>
      <c r="AU16" s="228"/>
      <c r="AV16" s="13"/>
      <c r="AW16" s="434"/>
      <c r="AX16" s="413"/>
      <c r="AY16" s="413"/>
      <c r="AZ16" s="13"/>
      <c r="BA16" s="434"/>
      <c r="BB16" s="413"/>
      <c r="BC16" s="413"/>
      <c r="BD16" s="13"/>
      <c r="BE16" s="434"/>
      <c r="BF16" s="413"/>
      <c r="BG16" s="413"/>
      <c r="BH16" s="13"/>
      <c r="BI16" s="434"/>
      <c r="BJ16" s="413"/>
      <c r="BK16" s="413"/>
      <c r="BL16" s="13"/>
      <c r="BM16" s="434"/>
      <c r="BN16" s="413"/>
      <c r="BO16" s="413"/>
      <c r="BP16" s="13"/>
      <c r="BQ16" s="29"/>
      <c r="BR16" s="13"/>
    </row>
    <row r="17" spans="1:70" ht="7.5" customHeight="1" thickBot="1">
      <c r="A17" s="20"/>
      <c r="B17" s="483"/>
      <c r="C17" s="483"/>
      <c r="D17" s="483"/>
      <c r="E17" s="483"/>
      <c r="F17" s="483"/>
      <c r="G17" s="468"/>
      <c r="H17" s="468"/>
      <c r="I17" s="468"/>
      <c r="J17" s="468"/>
      <c r="K17" s="468"/>
      <c r="L17" s="468"/>
      <c r="M17" s="483"/>
      <c r="N17" s="483"/>
      <c r="O17" s="483"/>
      <c r="P17" s="483"/>
      <c r="Q17" s="483"/>
      <c r="R17" s="483"/>
      <c r="S17" s="468"/>
      <c r="T17" s="468"/>
      <c r="U17" s="468"/>
      <c r="V17" s="468"/>
      <c r="W17" s="468"/>
      <c r="X17" s="468"/>
      <c r="Y17" s="29"/>
      <c r="Z17" s="19"/>
      <c r="AA17" s="15"/>
      <c r="AB17" s="15"/>
      <c r="AC17" s="172" t="s">
        <v>1168</v>
      </c>
      <c r="AD17" s="172"/>
      <c r="AE17" s="172"/>
      <c r="AF17" s="172"/>
      <c r="AG17" s="172"/>
      <c r="AH17" s="172"/>
      <c r="AI17" s="172"/>
      <c r="AJ17" s="172"/>
      <c r="AK17" s="435">
        <f>SUM(AN17:AQ18)+IF(Таблицы!BE35=6,Таблицы!BE32,0)+AT17</f>
        <v>20</v>
      </c>
      <c r="AL17" s="435"/>
      <c r="AM17" s="13"/>
      <c r="AN17" s="228">
        <f>IF(D36=0,"",(D36*4)+Таблицы!M155+Таблицы!U155)</f>
        <v>20</v>
      </c>
      <c r="AO17" s="228"/>
      <c r="AP17" s="436"/>
      <c r="AQ17" s="436"/>
      <c r="AR17" s="13"/>
      <c r="AS17" s="13"/>
      <c r="AT17" s="287">
        <f>IF(Таблицы!M155=20,SUM(AX17*2,BB17*2/2,INT(BF17*2/3),INT(BJ17*2/4),INT(BN17*2/5)),SUM(AX17,INT(BB17/2),INT(BF17/3),INT(BJ17/4),INT(BN17/5)))</f>
        <v>0</v>
      </c>
      <c r="AU17" s="287"/>
      <c r="AV17" s="13"/>
      <c r="AW17" s="434"/>
      <c r="AX17" s="413"/>
      <c r="AY17" s="413"/>
      <c r="AZ17" s="13"/>
      <c r="BA17" s="434"/>
      <c r="BB17" s="413"/>
      <c r="BC17" s="413"/>
      <c r="BD17" s="13"/>
      <c r="BE17" s="434"/>
      <c r="BF17" s="413"/>
      <c r="BG17" s="413"/>
      <c r="BH17" s="13"/>
      <c r="BI17" s="434"/>
      <c r="BJ17" s="413"/>
      <c r="BK17" s="413"/>
      <c r="BL17" s="13"/>
      <c r="BM17" s="434"/>
      <c r="BN17" s="413"/>
      <c r="BO17" s="413"/>
      <c r="BP17" s="13"/>
      <c r="BQ17" s="29"/>
      <c r="BR17" s="13"/>
    </row>
    <row r="18" spans="1:70" ht="7.5" customHeight="1">
      <c r="A18" s="16"/>
      <c r="B18" s="448" t="s">
        <v>92</v>
      </c>
      <c r="C18" s="449"/>
      <c r="D18" s="449"/>
      <c r="E18" s="449"/>
      <c r="F18" s="449"/>
      <c r="G18" s="449" t="s">
        <v>62</v>
      </c>
      <c r="H18" s="449"/>
      <c r="I18" s="449"/>
      <c r="J18" s="449"/>
      <c r="K18" s="449"/>
      <c r="L18" s="449"/>
      <c r="M18" s="449" t="s">
        <v>63</v>
      </c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50"/>
      <c r="Y18" s="29"/>
      <c r="Z18" s="19"/>
      <c r="AA18" s="15"/>
      <c r="AB18" s="15"/>
      <c r="AC18" s="172"/>
      <c r="AD18" s="172"/>
      <c r="AE18" s="172"/>
      <c r="AF18" s="172"/>
      <c r="AG18" s="172"/>
      <c r="AH18" s="172"/>
      <c r="AI18" s="172"/>
      <c r="AJ18" s="172"/>
      <c r="AK18" s="435"/>
      <c r="AL18" s="435"/>
      <c r="AM18" s="13"/>
      <c r="AN18" s="228"/>
      <c r="AO18" s="228"/>
      <c r="AP18" s="436"/>
      <c r="AQ18" s="436"/>
      <c r="AR18" s="15"/>
      <c r="AS18" s="13"/>
      <c r="AT18" s="228"/>
      <c r="AU18" s="228"/>
      <c r="AV18" s="13"/>
      <c r="AW18" s="434"/>
      <c r="AX18" s="413"/>
      <c r="AY18" s="413"/>
      <c r="AZ18" s="13"/>
      <c r="BA18" s="434"/>
      <c r="BB18" s="413"/>
      <c r="BC18" s="413"/>
      <c r="BD18" s="13"/>
      <c r="BE18" s="434"/>
      <c r="BF18" s="413"/>
      <c r="BG18" s="413"/>
      <c r="BH18" s="13"/>
      <c r="BI18" s="434"/>
      <c r="BJ18" s="413"/>
      <c r="BK18" s="413"/>
      <c r="BL18" s="13"/>
      <c r="BM18" s="434"/>
      <c r="BN18" s="413"/>
      <c r="BO18" s="413"/>
      <c r="BP18" s="13"/>
      <c r="BQ18" s="29"/>
      <c r="BR18" s="13"/>
    </row>
    <row r="19" spans="1:70" ht="6.75" customHeight="1" thickBot="1">
      <c r="A19" s="19"/>
      <c r="B19" s="451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3"/>
      <c r="Y19" s="29"/>
      <c r="Z19" s="19"/>
      <c r="AA19" s="15"/>
      <c r="AB19" s="15"/>
      <c r="AC19" s="172" t="s">
        <v>79</v>
      </c>
      <c r="AD19" s="172"/>
      <c r="AE19" s="172"/>
      <c r="AF19" s="172"/>
      <c r="AG19" s="172"/>
      <c r="AH19" s="172"/>
      <c r="AI19" s="172"/>
      <c r="AJ19" s="172"/>
      <c r="AK19" s="435">
        <f>SUM(AN19:AQ20)+AT19</f>
        <v>20</v>
      </c>
      <c r="AL19" s="435"/>
      <c r="AM19" s="13"/>
      <c r="AN19" s="228">
        <f>IF(D36=0,"",(2*SUM(D28,D34))+Таблицы!M156+Таблицы!U156)</f>
        <v>20</v>
      </c>
      <c r="AO19" s="228"/>
      <c r="AP19" s="436"/>
      <c r="AQ19" s="436"/>
      <c r="AR19" s="13"/>
      <c r="AS19" s="13"/>
      <c r="AT19" s="287">
        <f>IF(Таблицы!M156=20,SUM(AX19*2,BB19*2/2,INT(BF19*2/3),INT(BJ19*2/4),INT(BN19*2/5)),SUM(AX19,INT(BB19/2),INT(BF19/3),INT(BJ19/4),INT(BN19/5)))</f>
        <v>0</v>
      </c>
      <c r="AU19" s="287"/>
      <c r="AV19" s="13"/>
      <c r="AW19" s="434"/>
      <c r="AX19" s="413"/>
      <c r="AY19" s="413"/>
      <c r="AZ19" s="13"/>
      <c r="BA19" s="434"/>
      <c r="BB19" s="413"/>
      <c r="BC19" s="413"/>
      <c r="BD19" s="13"/>
      <c r="BE19" s="434"/>
      <c r="BF19" s="413"/>
      <c r="BG19" s="413"/>
      <c r="BH19" s="13"/>
      <c r="BI19" s="434"/>
      <c r="BJ19" s="413"/>
      <c r="BK19" s="413"/>
      <c r="BL19" s="13"/>
      <c r="BM19" s="434"/>
      <c r="BN19" s="413"/>
      <c r="BO19" s="413"/>
      <c r="BP19" s="13"/>
      <c r="BQ19" s="29"/>
      <c r="BR19" s="13"/>
    </row>
    <row r="20" spans="1:70" ht="7.5" customHeight="1">
      <c r="A20" s="21"/>
      <c r="B20" s="287">
        <f>IF(OR(Таблицы!F165=16,Таблицы!F166=16),SUM(INDEX(Таблицы!F2:S10,Таблицы!I1,10),1),INDEX(Таблицы!F2:S10,Таблицы!I1,10))</f>
        <v>3</v>
      </c>
      <c r="C20" s="287"/>
      <c r="D20" s="287"/>
      <c r="E20" s="287"/>
      <c r="F20" s="287"/>
      <c r="G20" s="287">
        <f>ROUNDDOWN(3+(D30/2),0)+INDEX(Таблицы!R2:R10,Таблицы!I1,1)</f>
        <v>5</v>
      </c>
      <c r="H20" s="287"/>
      <c r="I20" s="287"/>
      <c r="J20" s="287"/>
      <c r="K20" s="287"/>
      <c r="L20" s="287"/>
      <c r="M20" s="287">
        <f>IF(D34=0,"",IF(OR(Таблицы!F165=16,Таблицы!F166=16,Таблицы!F165=17,Таблицы!F166=17),SUM(5+(2*D34),IF(OR(Таблицы!F165=16,Таблицы!F166=16),Таблицы!L46,0),IF(OR(Таблицы!F165=17,Таблицы!F166=17),Таблицы!L48,0)),5+(2*D34)))+INDEX(Таблицы!U2:U10,Таблицы!I1,1)</f>
        <v>15</v>
      </c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31"/>
      <c r="Z20" s="42"/>
      <c r="AA20" s="15"/>
      <c r="AB20" s="15"/>
      <c r="AC20" s="172"/>
      <c r="AD20" s="172"/>
      <c r="AE20" s="172"/>
      <c r="AF20" s="172"/>
      <c r="AG20" s="172"/>
      <c r="AH20" s="172"/>
      <c r="AI20" s="172"/>
      <c r="AJ20" s="172"/>
      <c r="AK20" s="435"/>
      <c r="AL20" s="435"/>
      <c r="AM20" s="13"/>
      <c r="AN20" s="228"/>
      <c r="AO20" s="228"/>
      <c r="AP20" s="436"/>
      <c r="AQ20" s="436"/>
      <c r="AR20" s="13"/>
      <c r="AS20" s="13"/>
      <c r="AT20" s="228"/>
      <c r="AU20" s="228"/>
      <c r="AV20" s="13"/>
      <c r="AW20" s="434"/>
      <c r="AX20" s="413"/>
      <c r="AY20" s="413"/>
      <c r="AZ20" s="13"/>
      <c r="BA20" s="434"/>
      <c r="BB20" s="413"/>
      <c r="BC20" s="413"/>
      <c r="BD20" s="13"/>
      <c r="BE20" s="434"/>
      <c r="BF20" s="413"/>
      <c r="BG20" s="413"/>
      <c r="BH20" s="13"/>
      <c r="BI20" s="434"/>
      <c r="BJ20" s="413"/>
      <c r="BK20" s="413"/>
      <c r="BL20" s="13"/>
      <c r="BM20" s="434"/>
      <c r="BN20" s="413"/>
      <c r="BO20" s="413"/>
      <c r="BP20" s="13"/>
      <c r="BQ20" s="29"/>
      <c r="BR20" s="13"/>
    </row>
    <row r="21" spans="1:70" ht="7.5" customHeight="1">
      <c r="A21" s="19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31"/>
      <c r="Z21" s="42"/>
      <c r="AA21" s="15"/>
      <c r="AB21" s="15"/>
      <c r="AC21" s="172" t="s">
        <v>80</v>
      </c>
      <c r="AD21" s="172"/>
      <c r="AE21" s="172"/>
      <c r="AF21" s="172"/>
      <c r="AG21" s="172"/>
      <c r="AH21" s="172"/>
      <c r="AI21" s="172"/>
      <c r="AJ21" s="172"/>
      <c r="AK21" s="435">
        <f>SUM(AN21:AQ22)+AT21</f>
        <v>15</v>
      </c>
      <c r="AL21" s="435"/>
      <c r="AM21" s="13"/>
      <c r="AN21" s="228">
        <f>IF(D36=0,"",(5+SUM(D28,D34)+Таблицы!M157+Таблицы!U157))</f>
        <v>15</v>
      </c>
      <c r="AO21" s="228"/>
      <c r="AP21" s="436"/>
      <c r="AQ21" s="436"/>
      <c r="AR21" s="13"/>
      <c r="AS21" s="13"/>
      <c r="AT21" s="287">
        <f>IF(Таблицы!M157=20,SUM(AX21*2,BB21*2/2,INT(BF21*2/3),INT(BJ21*2/4),INT(BN21*2/5)),SUM(AX21,INT(BB21/2),INT(BF21/3),INT(BJ21/4),INT(BN21/5)))</f>
        <v>0</v>
      </c>
      <c r="AU21" s="287"/>
      <c r="AV21" s="13"/>
      <c r="AW21" s="434"/>
      <c r="AX21" s="413"/>
      <c r="AY21" s="413"/>
      <c r="AZ21" s="13"/>
      <c r="BA21" s="434"/>
      <c r="BB21" s="413"/>
      <c r="BC21" s="413"/>
      <c r="BD21" s="13"/>
      <c r="BE21" s="434"/>
      <c r="BF21" s="413"/>
      <c r="BG21" s="413"/>
      <c r="BH21" s="13"/>
      <c r="BI21" s="434"/>
      <c r="BJ21" s="413"/>
      <c r="BK21" s="413"/>
      <c r="BL21" s="22"/>
      <c r="BM21" s="434"/>
      <c r="BN21" s="413"/>
      <c r="BO21" s="413"/>
      <c r="BP21" s="13"/>
      <c r="BQ21" s="29"/>
      <c r="BR21" s="13"/>
    </row>
    <row r="22" spans="1:70" ht="7.5" customHeight="1">
      <c r="A22" s="65"/>
      <c r="B22" s="46"/>
      <c r="C22" s="46"/>
      <c r="D22" s="46"/>
      <c r="E22" s="46"/>
      <c r="F22" s="68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66"/>
      <c r="Z22" s="19"/>
      <c r="AA22" s="15"/>
      <c r="AB22" s="15"/>
      <c r="AC22" s="172"/>
      <c r="AD22" s="172"/>
      <c r="AE22" s="172"/>
      <c r="AF22" s="172"/>
      <c r="AG22" s="172"/>
      <c r="AH22" s="172"/>
      <c r="AI22" s="172"/>
      <c r="AJ22" s="172"/>
      <c r="AK22" s="435"/>
      <c r="AL22" s="435"/>
      <c r="AM22" s="13"/>
      <c r="AN22" s="228"/>
      <c r="AO22" s="228"/>
      <c r="AP22" s="436"/>
      <c r="AQ22" s="436"/>
      <c r="AR22" s="13"/>
      <c r="AS22" s="13"/>
      <c r="AT22" s="228"/>
      <c r="AU22" s="228"/>
      <c r="AV22" s="13"/>
      <c r="AW22" s="434"/>
      <c r="AX22" s="413"/>
      <c r="AY22" s="413"/>
      <c r="AZ22" s="13"/>
      <c r="BA22" s="434"/>
      <c r="BB22" s="413"/>
      <c r="BC22" s="413"/>
      <c r="BD22" s="13"/>
      <c r="BE22" s="434"/>
      <c r="BF22" s="413"/>
      <c r="BG22" s="413"/>
      <c r="BH22" s="13"/>
      <c r="BI22" s="434"/>
      <c r="BJ22" s="413"/>
      <c r="BK22" s="413"/>
      <c r="BL22" s="22"/>
      <c r="BM22" s="434"/>
      <c r="BN22" s="413"/>
      <c r="BO22" s="413"/>
      <c r="BP22" s="13"/>
      <c r="BQ22" s="29"/>
      <c r="BR22" s="13"/>
    </row>
    <row r="23" spans="1:70" ht="7.5" customHeight="1" thickBot="1">
      <c r="A23" s="19"/>
      <c r="B23" s="13"/>
      <c r="C23" s="13"/>
      <c r="D23" s="13"/>
      <c r="E23" s="13"/>
      <c r="F23" s="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29"/>
      <c r="Z23" s="19"/>
      <c r="AA23" s="15"/>
      <c r="AB23" s="15"/>
      <c r="AC23" s="172" t="s">
        <v>81</v>
      </c>
      <c r="AD23" s="172"/>
      <c r="AE23" s="172"/>
      <c r="AF23" s="172"/>
      <c r="AG23" s="172"/>
      <c r="AH23" s="172"/>
      <c r="AI23" s="172"/>
      <c r="AJ23" s="172"/>
      <c r="AK23" s="435">
        <f>SUM(AN23:AQ24)+AT23</f>
        <v>20</v>
      </c>
      <c r="AL23" s="435"/>
      <c r="AM23" s="13"/>
      <c r="AN23" s="228">
        <f>IF(D36=0,"",5+(3*D36)+Таблицы!M158+Таблицы!U158)</f>
        <v>20</v>
      </c>
      <c r="AO23" s="228"/>
      <c r="AP23" s="436"/>
      <c r="AQ23" s="436"/>
      <c r="AR23" s="13"/>
      <c r="AS23" s="13"/>
      <c r="AT23" s="287">
        <f>IF(Таблицы!M158=20,SUM(AX23*2,BB23*2/2,INT(BF23*2/3),INT(BJ23*2/4),INT(BN23*2/5)),SUM(AX23,INT(BB23/2),INT(BF23/3),INT(BJ23/4),INT(BN23/5)))</f>
        <v>0</v>
      </c>
      <c r="AU23" s="287"/>
      <c r="AV23" s="13"/>
      <c r="AW23" s="434"/>
      <c r="AX23" s="413"/>
      <c r="AY23" s="413"/>
      <c r="AZ23" s="13"/>
      <c r="BA23" s="434"/>
      <c r="BB23" s="413"/>
      <c r="BC23" s="413"/>
      <c r="BD23" s="13"/>
      <c r="BE23" s="434"/>
      <c r="BF23" s="413"/>
      <c r="BG23" s="413"/>
      <c r="BH23" s="13"/>
      <c r="BI23" s="434"/>
      <c r="BJ23" s="413"/>
      <c r="BK23" s="413"/>
      <c r="BL23" s="22"/>
      <c r="BM23" s="434"/>
      <c r="BN23" s="413"/>
      <c r="BO23" s="413"/>
      <c r="BP23" s="13"/>
      <c r="BQ23" s="29"/>
      <c r="BR23" s="13"/>
    </row>
    <row r="24" spans="1:70" ht="7.5" customHeight="1">
      <c r="A24" s="19"/>
      <c r="B24" s="488" t="s">
        <v>94</v>
      </c>
      <c r="C24" s="489"/>
      <c r="D24" s="424" t="s">
        <v>222</v>
      </c>
      <c r="E24" s="424"/>
      <c r="F24" s="425"/>
      <c r="G24" s="13"/>
      <c r="H24" s="415" t="s">
        <v>95</v>
      </c>
      <c r="I24" s="442"/>
      <c r="J24" s="442"/>
      <c r="K24" s="455" t="s">
        <v>74</v>
      </c>
      <c r="L24" s="455"/>
      <c r="M24" s="455"/>
      <c r="N24" s="458" t="s">
        <v>8</v>
      </c>
      <c r="O24" s="458"/>
      <c r="P24" s="459"/>
      <c r="Q24" s="13"/>
      <c r="R24" s="448" t="s">
        <v>272</v>
      </c>
      <c r="S24" s="449"/>
      <c r="T24" s="449"/>
      <c r="U24" s="449"/>
      <c r="V24" s="449"/>
      <c r="W24" s="449"/>
      <c r="X24" s="450"/>
      <c r="Y24" s="29"/>
      <c r="Z24" s="19"/>
      <c r="AA24" s="15"/>
      <c r="AB24" s="15"/>
      <c r="AC24" s="172"/>
      <c r="AD24" s="172"/>
      <c r="AE24" s="172"/>
      <c r="AF24" s="172"/>
      <c r="AG24" s="172"/>
      <c r="AH24" s="172"/>
      <c r="AI24" s="172"/>
      <c r="AJ24" s="172"/>
      <c r="AK24" s="435"/>
      <c r="AL24" s="435"/>
      <c r="AM24" s="13"/>
      <c r="AN24" s="228"/>
      <c r="AO24" s="228"/>
      <c r="AP24" s="436"/>
      <c r="AQ24" s="436"/>
      <c r="AR24" s="13"/>
      <c r="AS24" s="13"/>
      <c r="AT24" s="228"/>
      <c r="AU24" s="228"/>
      <c r="AV24" s="13"/>
      <c r="AW24" s="434"/>
      <c r="AX24" s="413"/>
      <c r="AY24" s="413"/>
      <c r="AZ24" s="13"/>
      <c r="BA24" s="434"/>
      <c r="BB24" s="413"/>
      <c r="BC24" s="413"/>
      <c r="BD24" s="13"/>
      <c r="BE24" s="434"/>
      <c r="BF24" s="413"/>
      <c r="BG24" s="413"/>
      <c r="BH24" s="13"/>
      <c r="BI24" s="434"/>
      <c r="BJ24" s="413"/>
      <c r="BK24" s="413"/>
      <c r="BL24" s="22"/>
      <c r="BM24" s="434"/>
      <c r="BN24" s="413"/>
      <c r="BO24" s="413"/>
      <c r="BP24" s="13"/>
      <c r="BQ24" s="29"/>
      <c r="BR24" s="13"/>
    </row>
    <row r="25" spans="1:70" ht="7.5" customHeight="1" thickBot="1">
      <c r="A25" s="21"/>
      <c r="B25" s="490"/>
      <c r="C25" s="491"/>
      <c r="D25" s="427"/>
      <c r="E25" s="427"/>
      <c r="F25" s="428"/>
      <c r="G25" s="13"/>
      <c r="H25" s="443"/>
      <c r="I25" s="444"/>
      <c r="J25" s="444"/>
      <c r="K25" s="457"/>
      <c r="L25" s="457"/>
      <c r="M25" s="457"/>
      <c r="N25" s="460"/>
      <c r="O25" s="460"/>
      <c r="P25" s="461"/>
      <c r="Q25" s="13"/>
      <c r="R25" s="451"/>
      <c r="S25" s="452"/>
      <c r="T25" s="452"/>
      <c r="U25" s="452"/>
      <c r="V25" s="452"/>
      <c r="W25" s="452"/>
      <c r="X25" s="453"/>
      <c r="Y25" s="29"/>
      <c r="Z25" s="19"/>
      <c r="AA25" s="15"/>
      <c r="AB25" s="15"/>
      <c r="AC25" s="172" t="s">
        <v>82</v>
      </c>
      <c r="AD25" s="172"/>
      <c r="AE25" s="172"/>
      <c r="AF25" s="172"/>
      <c r="AG25" s="172"/>
      <c r="AH25" s="172"/>
      <c r="AI25" s="172"/>
      <c r="AJ25" s="172"/>
      <c r="AK25" s="435">
        <f>SUM(AN25:AQ26)+AT25</f>
        <v>20</v>
      </c>
      <c r="AL25" s="435"/>
      <c r="AM25" s="13"/>
      <c r="AN25" s="228">
        <f>IF(D36=0,"",10+(SUM(D28,D36)+Таблицы!M159+Таблицы!U159))</f>
        <v>20</v>
      </c>
      <c r="AO25" s="228"/>
      <c r="AP25" s="436"/>
      <c r="AQ25" s="436"/>
      <c r="AR25" s="13"/>
      <c r="AS25" s="13"/>
      <c r="AT25" s="287">
        <f>IF(Таблицы!M159=20,SUM(AX25*2,BB25*2/2,INT(BF25*2/3),INT(BJ25*2/4),INT(BN25*2/5)),SUM(AX25,INT(BB25/2),INT(BF25/3),INT(BJ25/4),INT(BN25/5)))</f>
        <v>0</v>
      </c>
      <c r="AU25" s="287"/>
      <c r="AV25" s="13"/>
      <c r="AW25" s="434"/>
      <c r="AX25" s="413"/>
      <c r="AY25" s="413"/>
      <c r="AZ25" s="13"/>
      <c r="BA25" s="434"/>
      <c r="BB25" s="413"/>
      <c r="BC25" s="413"/>
      <c r="BD25" s="13"/>
      <c r="BE25" s="434"/>
      <c r="BF25" s="413"/>
      <c r="BG25" s="413"/>
      <c r="BH25" s="13"/>
      <c r="BI25" s="434"/>
      <c r="BJ25" s="413"/>
      <c r="BK25" s="413"/>
      <c r="BL25" s="22"/>
      <c r="BM25" s="434"/>
      <c r="BN25" s="413"/>
      <c r="BO25" s="413"/>
      <c r="BP25" s="13"/>
      <c r="BQ25" s="29"/>
      <c r="BR25" s="13"/>
    </row>
    <row r="26" spans="1:70" ht="7.5" customHeight="1">
      <c r="A26" s="16"/>
      <c r="B26" s="492" t="s">
        <v>258</v>
      </c>
      <c r="C26" s="385"/>
      <c r="D26" s="287">
        <f>SUM(K26+N26,IF(OR(Таблицы!F165=3,Таблицы!F166=3),Таблицы!L35,0),IF(OR(Таблицы!F165=17,Таблицы!F166=17),Таблицы!L49,0))</f>
        <v>5</v>
      </c>
      <c r="E26" s="287"/>
      <c r="F26" s="465"/>
      <c r="G26" s="13"/>
      <c r="H26" s="445" t="str">
        <f>INDEX(Таблицы!F2:L11,Таблицы!I1,1)</f>
        <v>1/10</v>
      </c>
      <c r="I26" s="446"/>
      <c r="J26" s="447"/>
      <c r="K26" s="287">
        <f>INDEX(Таблицы!AF2:AL10,Таблицы!I1,1)</f>
        <v>5</v>
      </c>
      <c r="L26" s="287"/>
      <c r="M26" s="287"/>
      <c r="N26" s="254"/>
      <c r="O26" s="254"/>
      <c r="P26" s="254"/>
      <c r="Q26" s="13"/>
      <c r="R26" s="414"/>
      <c r="S26" s="414"/>
      <c r="T26" s="414"/>
      <c r="U26" s="414"/>
      <c r="V26" s="414"/>
      <c r="W26" s="414"/>
      <c r="X26" s="414"/>
      <c r="Y26" s="29"/>
      <c r="Z26" s="19"/>
      <c r="AA26" s="15"/>
      <c r="AB26" s="15"/>
      <c r="AC26" s="172"/>
      <c r="AD26" s="172"/>
      <c r="AE26" s="172"/>
      <c r="AF26" s="172"/>
      <c r="AG26" s="172"/>
      <c r="AH26" s="172"/>
      <c r="AI26" s="172"/>
      <c r="AJ26" s="172"/>
      <c r="AK26" s="435"/>
      <c r="AL26" s="435"/>
      <c r="AM26" s="13"/>
      <c r="AN26" s="228"/>
      <c r="AO26" s="228"/>
      <c r="AP26" s="436"/>
      <c r="AQ26" s="436"/>
      <c r="AR26" s="13"/>
      <c r="AS26" s="13"/>
      <c r="AT26" s="228"/>
      <c r="AU26" s="228"/>
      <c r="AV26" s="13"/>
      <c r="AW26" s="434"/>
      <c r="AX26" s="413"/>
      <c r="AY26" s="413"/>
      <c r="AZ26" s="13"/>
      <c r="BA26" s="434"/>
      <c r="BB26" s="413"/>
      <c r="BC26" s="413"/>
      <c r="BD26" s="13"/>
      <c r="BE26" s="434"/>
      <c r="BF26" s="413"/>
      <c r="BG26" s="413"/>
      <c r="BH26" s="13"/>
      <c r="BI26" s="434"/>
      <c r="BJ26" s="413"/>
      <c r="BK26" s="413"/>
      <c r="BL26" s="22"/>
      <c r="BM26" s="434"/>
      <c r="BN26" s="413"/>
      <c r="BO26" s="413"/>
      <c r="BP26" s="13"/>
      <c r="BQ26" s="29"/>
      <c r="BR26" s="13"/>
    </row>
    <row r="27" spans="1:70" ht="7.5" customHeight="1" thickBot="1">
      <c r="A27" s="16"/>
      <c r="B27" s="487"/>
      <c r="C27" s="347"/>
      <c r="D27" s="228"/>
      <c r="E27" s="228"/>
      <c r="F27" s="439"/>
      <c r="G27" s="13"/>
      <c r="H27" s="357"/>
      <c r="I27" s="358"/>
      <c r="J27" s="359"/>
      <c r="K27" s="228"/>
      <c r="L27" s="228"/>
      <c r="M27" s="228"/>
      <c r="N27" s="227"/>
      <c r="O27" s="227"/>
      <c r="P27" s="227"/>
      <c r="Q27" s="13"/>
      <c r="R27" s="467"/>
      <c r="S27" s="467"/>
      <c r="T27" s="467"/>
      <c r="U27" s="467"/>
      <c r="V27" s="467"/>
      <c r="W27" s="467"/>
      <c r="X27" s="467"/>
      <c r="Y27" s="29"/>
      <c r="Z27" s="19"/>
      <c r="AA27" s="15"/>
      <c r="AB27" s="15"/>
      <c r="AC27" s="172" t="s">
        <v>83</v>
      </c>
      <c r="AD27" s="172"/>
      <c r="AE27" s="172"/>
      <c r="AF27" s="172"/>
      <c r="AG27" s="172"/>
      <c r="AH27" s="172"/>
      <c r="AI27" s="172"/>
      <c r="AJ27" s="172"/>
      <c r="AK27" s="435">
        <f>SUM(AN27:AQ28)+AT27</f>
        <v>15</v>
      </c>
      <c r="AL27" s="435"/>
      <c r="AM27" s="13"/>
      <c r="AN27" s="228">
        <f>IF(D36=0,"",(D36*3)+Таблицы!M160+Таблицы!U160)</f>
        <v>15</v>
      </c>
      <c r="AO27" s="228"/>
      <c r="AP27" s="436"/>
      <c r="AQ27" s="436"/>
      <c r="AR27" s="13"/>
      <c r="AS27" s="13"/>
      <c r="AT27" s="287">
        <f>IF(Таблицы!M160=20,SUM(AX27*2,BB27*2/2,INT(BF27*2/3),INT(BJ27*2/4),INT(BN27*2/5)),SUM(AX27,INT(BB27/2),INT(BF27/3),INT(BJ27/4),INT(BN27/5)))</f>
        <v>0</v>
      </c>
      <c r="AU27" s="287"/>
      <c r="AV27" s="13"/>
      <c r="AW27" s="434"/>
      <c r="AX27" s="413"/>
      <c r="AY27" s="413"/>
      <c r="AZ27" s="13"/>
      <c r="BA27" s="434"/>
      <c r="BB27" s="413"/>
      <c r="BC27" s="413"/>
      <c r="BD27" s="13"/>
      <c r="BE27" s="434"/>
      <c r="BF27" s="413"/>
      <c r="BG27" s="413"/>
      <c r="BH27" s="13"/>
      <c r="BI27" s="434"/>
      <c r="BJ27" s="413"/>
      <c r="BK27" s="413"/>
      <c r="BL27" s="22"/>
      <c r="BM27" s="434"/>
      <c r="BN27" s="413"/>
      <c r="BO27" s="413"/>
      <c r="BP27" s="13"/>
      <c r="BQ27" s="29"/>
      <c r="BR27" s="13"/>
    </row>
    <row r="28" spans="1:70" ht="7.5" customHeight="1">
      <c r="A28" s="16"/>
      <c r="B28" s="486" t="s">
        <v>115</v>
      </c>
      <c r="C28" s="346"/>
      <c r="D28" s="228">
        <f>SUM(K28+N28,IF(OR(Таблицы!F165=20,Таблицы!F166=20),Таблицы!L57,0),IF(OR(Таблицы!F165=17,Таблицы!F166=17),Таблицы!L50,0))</f>
        <v>5</v>
      </c>
      <c r="E28" s="228"/>
      <c r="F28" s="439"/>
      <c r="G28" s="13"/>
      <c r="H28" s="354" t="str">
        <f>INDEX(Таблицы!F2:L11,Таблицы!I1,2)</f>
        <v>1/10</v>
      </c>
      <c r="I28" s="355"/>
      <c r="J28" s="356"/>
      <c r="K28" s="287">
        <f>INDEX(Таблицы!AF2:AL10,Таблицы!I1,2)</f>
        <v>5</v>
      </c>
      <c r="L28" s="287"/>
      <c r="M28" s="287"/>
      <c r="N28" s="227"/>
      <c r="O28" s="227"/>
      <c r="P28" s="227"/>
      <c r="Q28" s="13"/>
      <c r="R28" s="448" t="s">
        <v>271</v>
      </c>
      <c r="S28" s="449"/>
      <c r="T28" s="449"/>
      <c r="U28" s="449"/>
      <c r="V28" s="449"/>
      <c r="W28" s="449"/>
      <c r="X28" s="450"/>
      <c r="Y28" s="29"/>
      <c r="Z28" s="19"/>
      <c r="AA28" s="15"/>
      <c r="AB28" s="15"/>
      <c r="AC28" s="172"/>
      <c r="AD28" s="172"/>
      <c r="AE28" s="172"/>
      <c r="AF28" s="172"/>
      <c r="AG28" s="172"/>
      <c r="AH28" s="172"/>
      <c r="AI28" s="172"/>
      <c r="AJ28" s="172"/>
      <c r="AK28" s="435"/>
      <c r="AL28" s="435"/>
      <c r="AM28" s="13"/>
      <c r="AN28" s="228"/>
      <c r="AO28" s="228"/>
      <c r="AP28" s="436"/>
      <c r="AQ28" s="436"/>
      <c r="AR28" s="13"/>
      <c r="AS28" s="13"/>
      <c r="AT28" s="228"/>
      <c r="AU28" s="228"/>
      <c r="AV28" s="13"/>
      <c r="AW28" s="434"/>
      <c r="AX28" s="413"/>
      <c r="AY28" s="413"/>
      <c r="AZ28" s="13"/>
      <c r="BA28" s="434"/>
      <c r="BB28" s="413"/>
      <c r="BC28" s="413"/>
      <c r="BD28" s="13"/>
      <c r="BE28" s="434"/>
      <c r="BF28" s="413"/>
      <c r="BG28" s="413"/>
      <c r="BH28" s="13"/>
      <c r="BI28" s="434"/>
      <c r="BJ28" s="413"/>
      <c r="BK28" s="413"/>
      <c r="BL28" s="22"/>
      <c r="BM28" s="434"/>
      <c r="BN28" s="413"/>
      <c r="BO28" s="413"/>
      <c r="BP28" s="13"/>
      <c r="BQ28" s="29"/>
      <c r="BR28" s="13"/>
    </row>
    <row r="29" spans="1:70" ht="7.5" customHeight="1" thickBot="1">
      <c r="A29" s="16"/>
      <c r="B29" s="487"/>
      <c r="C29" s="347"/>
      <c r="D29" s="228"/>
      <c r="E29" s="228"/>
      <c r="F29" s="439"/>
      <c r="G29" s="13"/>
      <c r="H29" s="357"/>
      <c r="I29" s="358"/>
      <c r="J29" s="359"/>
      <c r="K29" s="228"/>
      <c r="L29" s="228"/>
      <c r="M29" s="228"/>
      <c r="N29" s="227"/>
      <c r="O29" s="227"/>
      <c r="P29" s="227"/>
      <c r="Q29" s="13"/>
      <c r="R29" s="451"/>
      <c r="S29" s="452"/>
      <c r="T29" s="452"/>
      <c r="U29" s="452"/>
      <c r="V29" s="452"/>
      <c r="W29" s="452"/>
      <c r="X29" s="453"/>
      <c r="Y29" s="29"/>
      <c r="Z29" s="19"/>
      <c r="AA29" s="15"/>
      <c r="AB29" s="15"/>
      <c r="AC29" s="172" t="s">
        <v>84</v>
      </c>
      <c r="AD29" s="172"/>
      <c r="AE29" s="172"/>
      <c r="AF29" s="172"/>
      <c r="AG29" s="172"/>
      <c r="AH29" s="172"/>
      <c r="AI29" s="172"/>
      <c r="AJ29" s="172"/>
      <c r="AK29" s="435">
        <f>SUM(AN29:AQ30)+AT29</f>
        <v>20</v>
      </c>
      <c r="AL29" s="435"/>
      <c r="AM29" s="13"/>
      <c r="AN29" s="228">
        <f>IF(D36=0,"",10+(SUM(D28,D36)+Таблицы!M161+Таблицы!U161))</f>
        <v>20</v>
      </c>
      <c r="AO29" s="228"/>
      <c r="AP29" s="436"/>
      <c r="AQ29" s="436"/>
      <c r="AR29" s="13"/>
      <c r="AS29" s="13"/>
      <c r="AT29" s="287">
        <f>IF(Таблицы!M161=20,SUM(AX29*2,BB29*2/2,INT(BF29*2/3),INT(BJ29*2/4),INT(BN29*2/5)),SUM(AX29,INT(BB29/2),INT(BF29/3),INT(BJ29/4),INT(BN29/5)))</f>
        <v>0</v>
      </c>
      <c r="AU29" s="287"/>
      <c r="AV29" s="13"/>
      <c r="AW29" s="434"/>
      <c r="AX29" s="413"/>
      <c r="AY29" s="413"/>
      <c r="AZ29" s="13"/>
      <c r="BA29" s="434"/>
      <c r="BB29" s="413"/>
      <c r="BC29" s="413"/>
      <c r="BD29" s="13"/>
      <c r="BE29" s="434"/>
      <c r="BF29" s="413"/>
      <c r="BG29" s="413"/>
      <c r="BH29" s="13"/>
      <c r="BI29" s="434"/>
      <c r="BJ29" s="413"/>
      <c r="BK29" s="413"/>
      <c r="BL29" s="22"/>
      <c r="BM29" s="434"/>
      <c r="BN29" s="413"/>
      <c r="BO29" s="413"/>
      <c r="BP29" s="13"/>
      <c r="BQ29" s="29"/>
      <c r="BR29" s="13"/>
    </row>
    <row r="30" spans="1:70" ht="7.5" customHeight="1">
      <c r="A30" s="16"/>
      <c r="B30" s="486" t="s">
        <v>116</v>
      </c>
      <c r="C30" s="346"/>
      <c r="D30" s="228">
        <f>SUM(K30+N30,IF(OR(Таблицы!F165=17,Таблицы!F166=17),Таблицы!L51,0))</f>
        <v>5</v>
      </c>
      <c r="E30" s="228"/>
      <c r="F30" s="439"/>
      <c r="G30" s="13"/>
      <c r="H30" s="354" t="str">
        <f>INDEX(Таблицы!F2:L11,Таблицы!I1,3)</f>
        <v>1/10</v>
      </c>
      <c r="I30" s="355"/>
      <c r="J30" s="356"/>
      <c r="K30" s="287">
        <f>INDEX(Таблицы!AF2:AL10,Таблицы!I1,3)</f>
        <v>5</v>
      </c>
      <c r="L30" s="287"/>
      <c r="M30" s="287"/>
      <c r="N30" s="227"/>
      <c r="O30" s="227"/>
      <c r="P30" s="227"/>
      <c r="Q30" s="13"/>
      <c r="R30" s="254"/>
      <c r="S30" s="254"/>
      <c r="T30" s="254"/>
      <c r="U30" s="254"/>
      <c r="V30" s="254"/>
      <c r="W30" s="254"/>
      <c r="X30" s="254"/>
      <c r="Y30" s="29"/>
      <c r="Z30" s="19"/>
      <c r="AA30" s="15"/>
      <c r="AB30" s="15"/>
      <c r="AC30" s="172"/>
      <c r="AD30" s="172"/>
      <c r="AE30" s="172"/>
      <c r="AF30" s="172"/>
      <c r="AG30" s="172"/>
      <c r="AH30" s="172"/>
      <c r="AI30" s="172"/>
      <c r="AJ30" s="172"/>
      <c r="AK30" s="435"/>
      <c r="AL30" s="435"/>
      <c r="AM30" s="13"/>
      <c r="AN30" s="228"/>
      <c r="AO30" s="228"/>
      <c r="AP30" s="436"/>
      <c r="AQ30" s="436"/>
      <c r="AR30" s="13"/>
      <c r="AS30" s="13"/>
      <c r="AT30" s="228"/>
      <c r="AU30" s="228"/>
      <c r="AV30" s="13"/>
      <c r="AW30" s="434"/>
      <c r="AX30" s="413"/>
      <c r="AY30" s="413"/>
      <c r="AZ30" s="13"/>
      <c r="BA30" s="434"/>
      <c r="BB30" s="413"/>
      <c r="BC30" s="413"/>
      <c r="BD30" s="13"/>
      <c r="BE30" s="434"/>
      <c r="BF30" s="413"/>
      <c r="BG30" s="413"/>
      <c r="BH30" s="13"/>
      <c r="BI30" s="434"/>
      <c r="BJ30" s="413"/>
      <c r="BK30" s="413"/>
      <c r="BL30" s="22"/>
      <c r="BM30" s="434"/>
      <c r="BN30" s="413"/>
      <c r="BO30" s="413"/>
      <c r="BP30" s="13"/>
      <c r="BQ30" s="29"/>
      <c r="BR30" s="13"/>
    </row>
    <row r="31" spans="1:70" ht="7.5" customHeight="1" thickBot="1">
      <c r="A31" s="16"/>
      <c r="B31" s="487"/>
      <c r="C31" s="347"/>
      <c r="D31" s="228"/>
      <c r="E31" s="228"/>
      <c r="F31" s="439"/>
      <c r="G31" s="13"/>
      <c r="H31" s="357"/>
      <c r="I31" s="358"/>
      <c r="J31" s="359"/>
      <c r="K31" s="228"/>
      <c r="L31" s="228"/>
      <c r="M31" s="228"/>
      <c r="N31" s="227"/>
      <c r="O31" s="227"/>
      <c r="P31" s="227"/>
      <c r="Q31" s="13"/>
      <c r="R31" s="468"/>
      <c r="S31" s="468"/>
      <c r="T31" s="468"/>
      <c r="U31" s="468"/>
      <c r="V31" s="468"/>
      <c r="W31" s="468"/>
      <c r="X31" s="468"/>
      <c r="Y31" s="29"/>
      <c r="Z31" s="19"/>
      <c r="AA31" s="15"/>
      <c r="AB31" s="15"/>
      <c r="AC31" s="172" t="s">
        <v>85</v>
      </c>
      <c r="AD31" s="172"/>
      <c r="AE31" s="172"/>
      <c r="AF31" s="172"/>
      <c r="AG31" s="172"/>
      <c r="AH31" s="172"/>
      <c r="AI31" s="172"/>
      <c r="AJ31" s="172"/>
      <c r="AK31" s="435">
        <f>SUM(AN31:AQ32)+AT31</f>
        <v>20</v>
      </c>
      <c r="AL31" s="435"/>
      <c r="AM31" s="13"/>
      <c r="AN31" s="228">
        <f>IF(D36=0,"",(D34*4)+Таблицы!M162+Таблицы!U162)</f>
        <v>20</v>
      </c>
      <c r="AO31" s="228"/>
      <c r="AP31" s="436"/>
      <c r="AQ31" s="436"/>
      <c r="AR31" s="13"/>
      <c r="AS31" s="13"/>
      <c r="AT31" s="287">
        <f>IF(Таблицы!M162=20,SUM(AX31*2,BB31*2/2,INT(BF31*2/3),INT(BJ31*2/4),INT(BN31*2/5)),SUM(AX31,INT(BB31/2),INT(BF31/3),INT(BJ31/4),INT(BN31/5)))</f>
        <v>0</v>
      </c>
      <c r="AU31" s="287"/>
      <c r="AV31" s="13"/>
      <c r="AW31" s="434"/>
      <c r="AX31" s="413"/>
      <c r="AY31" s="413"/>
      <c r="AZ31" s="13"/>
      <c r="BA31" s="434"/>
      <c r="BB31" s="413"/>
      <c r="BC31" s="413"/>
      <c r="BD31" s="13"/>
      <c r="BE31" s="434"/>
      <c r="BF31" s="413"/>
      <c r="BG31" s="413"/>
      <c r="BH31" s="13"/>
      <c r="BI31" s="434"/>
      <c r="BJ31" s="413"/>
      <c r="BK31" s="413"/>
      <c r="BL31" s="22"/>
      <c r="BM31" s="434"/>
      <c r="BN31" s="413"/>
      <c r="BO31" s="413"/>
      <c r="BP31" s="13"/>
      <c r="BQ31" s="29"/>
      <c r="BR31" s="13"/>
    </row>
    <row r="32" spans="1:70" ht="7.5" customHeight="1">
      <c r="A32" s="16"/>
      <c r="B32" s="486" t="s">
        <v>117</v>
      </c>
      <c r="C32" s="346"/>
      <c r="D32" s="228">
        <f>SUM(K32+N32,IF(OR(Таблицы!F165=17,Таблицы!F166=17),Таблицы!L52,0))</f>
        <v>5</v>
      </c>
      <c r="E32" s="228"/>
      <c r="F32" s="439"/>
      <c r="G32" s="13"/>
      <c r="H32" s="354" t="str">
        <f>INDEX(Таблицы!F2:L11,Таблицы!I1,4)</f>
        <v>1/10</v>
      </c>
      <c r="I32" s="355"/>
      <c r="J32" s="356"/>
      <c r="K32" s="287">
        <f>INDEX(Таблицы!AF2:AL10,Таблицы!I1,4)</f>
        <v>5</v>
      </c>
      <c r="L32" s="287"/>
      <c r="M32" s="287"/>
      <c r="N32" s="227"/>
      <c r="O32" s="227"/>
      <c r="P32" s="227"/>
      <c r="Q32" s="13"/>
      <c r="R32" s="448" t="s">
        <v>270</v>
      </c>
      <c r="S32" s="449"/>
      <c r="T32" s="449"/>
      <c r="U32" s="449"/>
      <c r="V32" s="449"/>
      <c r="W32" s="449"/>
      <c r="X32" s="450"/>
      <c r="Y32" s="29"/>
      <c r="Z32" s="19"/>
      <c r="AA32" s="15"/>
      <c r="AB32" s="15"/>
      <c r="AC32" s="172"/>
      <c r="AD32" s="172"/>
      <c r="AE32" s="172"/>
      <c r="AF32" s="172"/>
      <c r="AG32" s="172"/>
      <c r="AH32" s="172"/>
      <c r="AI32" s="172"/>
      <c r="AJ32" s="172"/>
      <c r="AK32" s="435"/>
      <c r="AL32" s="435"/>
      <c r="AM32" s="13"/>
      <c r="AN32" s="228"/>
      <c r="AO32" s="228"/>
      <c r="AP32" s="436"/>
      <c r="AQ32" s="436"/>
      <c r="AR32" s="13"/>
      <c r="AS32" s="13"/>
      <c r="AT32" s="228"/>
      <c r="AU32" s="228"/>
      <c r="AV32" s="13"/>
      <c r="AW32" s="434"/>
      <c r="AX32" s="413"/>
      <c r="AY32" s="413"/>
      <c r="AZ32" s="13"/>
      <c r="BA32" s="434"/>
      <c r="BB32" s="413"/>
      <c r="BC32" s="413"/>
      <c r="BD32" s="13"/>
      <c r="BE32" s="434"/>
      <c r="BF32" s="413"/>
      <c r="BG32" s="413"/>
      <c r="BH32" s="13"/>
      <c r="BI32" s="434"/>
      <c r="BJ32" s="413"/>
      <c r="BK32" s="413"/>
      <c r="BL32" s="22"/>
      <c r="BM32" s="434"/>
      <c r="BN32" s="413"/>
      <c r="BO32" s="413"/>
      <c r="BP32" s="13"/>
      <c r="BQ32" s="29"/>
      <c r="BR32" s="13"/>
    </row>
    <row r="33" spans="1:70" ht="7.5" customHeight="1" thickBot="1">
      <c r="A33" s="16"/>
      <c r="B33" s="487"/>
      <c r="C33" s="347"/>
      <c r="D33" s="228"/>
      <c r="E33" s="228"/>
      <c r="F33" s="439"/>
      <c r="G33" s="13"/>
      <c r="H33" s="357"/>
      <c r="I33" s="358"/>
      <c r="J33" s="359"/>
      <c r="K33" s="228"/>
      <c r="L33" s="228"/>
      <c r="M33" s="228"/>
      <c r="N33" s="227"/>
      <c r="O33" s="227"/>
      <c r="P33" s="227"/>
      <c r="Q33" s="13"/>
      <c r="R33" s="451"/>
      <c r="S33" s="452"/>
      <c r="T33" s="452"/>
      <c r="U33" s="452"/>
      <c r="V33" s="452"/>
      <c r="W33" s="452"/>
      <c r="X33" s="453"/>
      <c r="Y33" s="29"/>
      <c r="Z33" s="19"/>
      <c r="AA33" s="15"/>
      <c r="AB33" s="15"/>
      <c r="AC33" s="172" t="s">
        <v>86</v>
      </c>
      <c r="AD33" s="172"/>
      <c r="AE33" s="172"/>
      <c r="AF33" s="172"/>
      <c r="AG33" s="172"/>
      <c r="AH33" s="172"/>
      <c r="AI33" s="172"/>
      <c r="AJ33" s="172"/>
      <c r="AK33" s="435">
        <f>SUM(AN33:AQ34)+AT33</f>
        <v>15</v>
      </c>
      <c r="AL33" s="435"/>
      <c r="AM33" s="13"/>
      <c r="AN33" s="228">
        <f>IF(D36=0,"",(D34*3)+Таблицы!M163+Таблицы!U163)</f>
        <v>15</v>
      </c>
      <c r="AO33" s="228"/>
      <c r="AP33" s="436"/>
      <c r="AQ33" s="436"/>
      <c r="AR33" s="13"/>
      <c r="AS33" s="13"/>
      <c r="AT33" s="287">
        <f>IF(Таблицы!M163=20,SUM(AX33*2,BB33*2/2,INT(BF33*2/3),INT(BJ33*2/4),INT(BN33*2/5)),SUM(AX33,INT(BB33/2),INT(BF33/3),INT(BJ33/4),INT(BN33/5)))</f>
        <v>0</v>
      </c>
      <c r="AU33" s="287"/>
      <c r="AV33" s="13"/>
      <c r="AW33" s="434"/>
      <c r="AX33" s="413"/>
      <c r="AY33" s="413"/>
      <c r="AZ33" s="13"/>
      <c r="BA33" s="434"/>
      <c r="BB33" s="413"/>
      <c r="BC33" s="413"/>
      <c r="BD33" s="13"/>
      <c r="BE33" s="434"/>
      <c r="BF33" s="413"/>
      <c r="BG33" s="413"/>
      <c r="BH33" s="13"/>
      <c r="BI33" s="434"/>
      <c r="BJ33" s="413"/>
      <c r="BK33" s="413"/>
      <c r="BL33" s="22"/>
      <c r="BM33" s="434"/>
      <c r="BN33" s="413"/>
      <c r="BO33" s="413"/>
      <c r="BP33" s="13"/>
      <c r="BQ33" s="29"/>
      <c r="BR33" s="13"/>
    </row>
    <row r="34" spans="1:70" ht="7.5" customHeight="1">
      <c r="A34" s="16"/>
      <c r="B34" s="486" t="s">
        <v>118</v>
      </c>
      <c r="C34" s="346"/>
      <c r="D34" s="228">
        <f>SUM(K34+N34,IF(OR(Таблицы!F165=24,Таблицы!F166=24),Таблицы!L59,0),IF(OR(Таблицы!F165=17,Таблицы!F166=17),Таблицы!L53,0))</f>
        <v>5</v>
      </c>
      <c r="E34" s="228"/>
      <c r="F34" s="439"/>
      <c r="G34" s="13"/>
      <c r="H34" s="354" t="str">
        <f>INDEX(Таблицы!F2:L11,Таблицы!I1,5)</f>
        <v>1/10</v>
      </c>
      <c r="I34" s="355"/>
      <c r="J34" s="356"/>
      <c r="K34" s="287">
        <f>INDEX(Таблицы!AF2:AL10,Таблицы!I1,5)</f>
        <v>5</v>
      </c>
      <c r="L34" s="287"/>
      <c r="M34" s="287"/>
      <c r="N34" s="227"/>
      <c r="O34" s="227"/>
      <c r="P34" s="227"/>
      <c r="Q34" s="13"/>
      <c r="R34" s="254"/>
      <c r="S34" s="254"/>
      <c r="T34" s="254"/>
      <c r="U34" s="254"/>
      <c r="V34" s="254"/>
      <c r="W34" s="254"/>
      <c r="X34" s="254"/>
      <c r="Y34" s="29"/>
      <c r="Z34" s="19"/>
      <c r="AA34" s="15"/>
      <c r="AB34" s="15"/>
      <c r="AC34" s="172"/>
      <c r="AD34" s="172"/>
      <c r="AE34" s="172"/>
      <c r="AF34" s="172"/>
      <c r="AG34" s="172"/>
      <c r="AH34" s="172"/>
      <c r="AI34" s="172"/>
      <c r="AJ34" s="172"/>
      <c r="AK34" s="435"/>
      <c r="AL34" s="435"/>
      <c r="AM34" s="13"/>
      <c r="AN34" s="228"/>
      <c r="AO34" s="228"/>
      <c r="AP34" s="436"/>
      <c r="AQ34" s="436"/>
      <c r="AR34" s="13"/>
      <c r="AS34" s="13"/>
      <c r="AT34" s="228"/>
      <c r="AU34" s="228"/>
      <c r="AV34" s="13"/>
      <c r="AW34" s="434"/>
      <c r="AX34" s="413"/>
      <c r="AY34" s="413"/>
      <c r="AZ34" s="13"/>
      <c r="BA34" s="434"/>
      <c r="BB34" s="413"/>
      <c r="BC34" s="413"/>
      <c r="BD34" s="13"/>
      <c r="BE34" s="434"/>
      <c r="BF34" s="413"/>
      <c r="BG34" s="413"/>
      <c r="BH34" s="13"/>
      <c r="BI34" s="434"/>
      <c r="BJ34" s="413"/>
      <c r="BK34" s="413"/>
      <c r="BL34" s="22"/>
      <c r="BM34" s="434"/>
      <c r="BN34" s="413"/>
      <c r="BO34" s="413"/>
      <c r="BP34" s="13"/>
      <c r="BQ34" s="29"/>
      <c r="BR34" s="13"/>
    </row>
    <row r="35" spans="1:70" ht="7.5" customHeight="1" thickBot="1">
      <c r="A35" s="16"/>
      <c r="B35" s="487"/>
      <c r="C35" s="347"/>
      <c r="D35" s="228"/>
      <c r="E35" s="228"/>
      <c r="F35" s="439"/>
      <c r="G35" s="13"/>
      <c r="H35" s="357"/>
      <c r="I35" s="358"/>
      <c r="J35" s="359"/>
      <c r="K35" s="228"/>
      <c r="L35" s="228"/>
      <c r="M35" s="228"/>
      <c r="N35" s="227"/>
      <c r="O35" s="227"/>
      <c r="P35" s="227"/>
      <c r="Q35" s="13"/>
      <c r="R35" s="468"/>
      <c r="S35" s="468"/>
      <c r="T35" s="468"/>
      <c r="U35" s="468"/>
      <c r="V35" s="468"/>
      <c r="W35" s="468"/>
      <c r="X35" s="468"/>
      <c r="Y35" s="29"/>
      <c r="Z35" s="19"/>
      <c r="AA35" s="15"/>
      <c r="AB35" s="15"/>
      <c r="AC35" s="172" t="s">
        <v>87</v>
      </c>
      <c r="AD35" s="172"/>
      <c r="AE35" s="172"/>
      <c r="AF35" s="172"/>
      <c r="AG35" s="172"/>
      <c r="AH35" s="172"/>
      <c r="AI35" s="172"/>
      <c r="AJ35" s="172"/>
      <c r="AK35" s="435">
        <f>SUM(AN35:AQ36)+AT35</f>
        <v>20</v>
      </c>
      <c r="AL35" s="435"/>
      <c r="AM35" s="13"/>
      <c r="AN35" s="228">
        <f>IF(D36=0,"",(2*SUM(D28,D36)+Таблицы!M164+Таблицы!U164))</f>
        <v>20</v>
      </c>
      <c r="AO35" s="228"/>
      <c r="AP35" s="436"/>
      <c r="AQ35" s="436"/>
      <c r="AR35" s="13"/>
      <c r="AS35" s="13"/>
      <c r="AT35" s="287">
        <f>IF(Таблицы!M164=20,SUM(AX35*2,BB35*2/2,INT(BF35*2/3),INT(BJ35*2/4),INT(BN35*2/5)),SUM(AX35,INT(BB35/2),INT(BF35/3),INT(BJ35/4),INT(BN35/5)))</f>
        <v>0</v>
      </c>
      <c r="AU35" s="287"/>
      <c r="AV35" s="13"/>
      <c r="AW35" s="434"/>
      <c r="AX35" s="413"/>
      <c r="AY35" s="413"/>
      <c r="AZ35" s="13"/>
      <c r="BA35" s="434"/>
      <c r="BB35" s="413"/>
      <c r="BC35" s="413"/>
      <c r="BD35" s="13"/>
      <c r="BE35" s="434"/>
      <c r="BF35" s="413"/>
      <c r="BG35" s="413"/>
      <c r="BH35" s="13"/>
      <c r="BI35" s="434"/>
      <c r="BJ35" s="413"/>
      <c r="BK35" s="413"/>
      <c r="BL35" s="22"/>
      <c r="BM35" s="434"/>
      <c r="BN35" s="413"/>
      <c r="BO35" s="413"/>
      <c r="BP35" s="13"/>
      <c r="BQ35" s="29"/>
      <c r="BR35" s="13"/>
    </row>
    <row r="36" spans="1:70" ht="7.5" customHeight="1">
      <c r="A36" s="16"/>
      <c r="B36" s="486" t="s">
        <v>119</v>
      </c>
      <c r="C36" s="346"/>
      <c r="D36" s="228">
        <f>SUM(K36+N36,IF(OR(Таблицы!F165=4,Таблицы!F166=4),Таблицы!L40,0),IF(OR(Таблицы!F165=17,Таблицы!F166=17),Таблицы!L54,0))</f>
        <v>5</v>
      </c>
      <c r="E36" s="228"/>
      <c r="F36" s="439"/>
      <c r="G36" s="13"/>
      <c r="H36" s="354" t="str">
        <f>INDEX(Таблицы!F2:L11,Таблицы!I1,6)</f>
        <v>1/10</v>
      </c>
      <c r="I36" s="355"/>
      <c r="J36" s="356"/>
      <c r="K36" s="287">
        <f>INDEX(Таблицы!AF2:AL10,Таблицы!I1,6)</f>
        <v>5</v>
      </c>
      <c r="L36" s="287"/>
      <c r="M36" s="287"/>
      <c r="N36" s="342"/>
      <c r="O36" s="437"/>
      <c r="P36" s="343"/>
      <c r="Q36" s="13"/>
      <c r="R36" s="448" t="s">
        <v>273</v>
      </c>
      <c r="S36" s="449"/>
      <c r="T36" s="449"/>
      <c r="U36" s="449"/>
      <c r="V36" s="449"/>
      <c r="W36" s="449"/>
      <c r="X36" s="450"/>
      <c r="Y36" s="29"/>
      <c r="Z36" s="19"/>
      <c r="AA36" s="15"/>
      <c r="AB36" s="15"/>
      <c r="AC36" s="172"/>
      <c r="AD36" s="172"/>
      <c r="AE36" s="172"/>
      <c r="AF36" s="172"/>
      <c r="AG36" s="172"/>
      <c r="AH36" s="172"/>
      <c r="AI36" s="172"/>
      <c r="AJ36" s="172"/>
      <c r="AK36" s="435"/>
      <c r="AL36" s="435"/>
      <c r="AM36" s="13"/>
      <c r="AN36" s="228"/>
      <c r="AO36" s="228"/>
      <c r="AP36" s="436"/>
      <c r="AQ36" s="436"/>
      <c r="AR36" s="13"/>
      <c r="AS36" s="13"/>
      <c r="AT36" s="228"/>
      <c r="AU36" s="228"/>
      <c r="AV36" s="13"/>
      <c r="AW36" s="434"/>
      <c r="AX36" s="413"/>
      <c r="AY36" s="413"/>
      <c r="AZ36" s="13"/>
      <c r="BA36" s="434"/>
      <c r="BB36" s="413"/>
      <c r="BC36" s="413"/>
      <c r="BD36" s="13"/>
      <c r="BE36" s="434"/>
      <c r="BF36" s="413"/>
      <c r="BG36" s="413"/>
      <c r="BH36" s="13"/>
      <c r="BI36" s="434"/>
      <c r="BJ36" s="413"/>
      <c r="BK36" s="413"/>
      <c r="BL36" s="22"/>
      <c r="BM36" s="434"/>
      <c r="BN36" s="413"/>
      <c r="BO36" s="413"/>
      <c r="BP36" s="13"/>
      <c r="BQ36" s="29"/>
      <c r="BR36" s="13"/>
    </row>
    <row r="37" spans="1:70" ht="7.5" customHeight="1" thickBot="1">
      <c r="A37" s="16"/>
      <c r="B37" s="487"/>
      <c r="C37" s="347"/>
      <c r="D37" s="228"/>
      <c r="E37" s="228"/>
      <c r="F37" s="439"/>
      <c r="G37" s="13"/>
      <c r="H37" s="357"/>
      <c r="I37" s="358"/>
      <c r="J37" s="359"/>
      <c r="K37" s="228"/>
      <c r="L37" s="228"/>
      <c r="M37" s="228"/>
      <c r="N37" s="344"/>
      <c r="O37" s="438"/>
      <c r="P37" s="345"/>
      <c r="Q37" s="13"/>
      <c r="R37" s="451"/>
      <c r="S37" s="452"/>
      <c r="T37" s="452"/>
      <c r="U37" s="452"/>
      <c r="V37" s="452"/>
      <c r="W37" s="452"/>
      <c r="X37" s="453"/>
      <c r="Y37" s="29"/>
      <c r="Z37" s="19"/>
      <c r="AA37" s="15"/>
      <c r="AB37" s="15"/>
      <c r="AC37" s="172" t="s">
        <v>88</v>
      </c>
      <c r="AD37" s="172"/>
      <c r="AE37" s="172"/>
      <c r="AF37" s="172"/>
      <c r="AG37" s="172"/>
      <c r="AH37" s="172"/>
      <c r="AI37" s="172"/>
      <c r="AJ37" s="172"/>
      <c r="AK37" s="435">
        <f>SUM(AN37:AQ38)+AT37</f>
        <v>25</v>
      </c>
      <c r="AL37" s="435"/>
      <c r="AM37" s="13"/>
      <c r="AN37" s="228">
        <f>IF(D36=0,"",(D32*5)+Таблицы!M165+Таблицы!U165)</f>
        <v>25</v>
      </c>
      <c r="AO37" s="228"/>
      <c r="AP37" s="436"/>
      <c r="AQ37" s="436"/>
      <c r="AR37" s="13"/>
      <c r="AS37" s="13"/>
      <c r="AT37" s="287">
        <f>IF(Таблицы!M165=20,SUM(AX37*2,BB37*2/2,INT(BF37*2/3),INT(BJ37*2/4),INT(BN37*2/5)),SUM(AX37,INT(BB37/2),INT(BF37/3),INT(BJ37/4),INT(BN37/5)))</f>
        <v>0</v>
      </c>
      <c r="AU37" s="287"/>
      <c r="AV37" s="13"/>
      <c r="AW37" s="434"/>
      <c r="AX37" s="413"/>
      <c r="AY37" s="413"/>
      <c r="AZ37" s="13"/>
      <c r="BA37" s="434"/>
      <c r="BB37" s="413"/>
      <c r="BC37" s="413"/>
      <c r="BD37" s="13"/>
      <c r="BE37" s="434"/>
      <c r="BF37" s="413"/>
      <c r="BG37" s="413"/>
      <c r="BH37" s="13"/>
      <c r="BI37" s="434"/>
      <c r="BJ37" s="413"/>
      <c r="BK37" s="413"/>
      <c r="BL37" s="22"/>
      <c r="BM37" s="434"/>
      <c r="BN37" s="413"/>
      <c r="BO37" s="413"/>
      <c r="BP37" s="13"/>
      <c r="BQ37" s="29"/>
      <c r="BR37" s="13"/>
    </row>
    <row r="38" spans="1:70" ht="7.5" customHeight="1">
      <c r="A38" s="19"/>
      <c r="B38" s="462" t="s">
        <v>120</v>
      </c>
      <c r="C38" s="172"/>
      <c r="D38" s="228">
        <f>SUM(K38+N38,IF(OR(Таблицы!F165=17,Таблицы!F166=17),Таблицы!L55,0))</f>
        <v>5</v>
      </c>
      <c r="E38" s="228"/>
      <c r="F38" s="439"/>
      <c r="G38" s="13"/>
      <c r="H38" s="354" t="str">
        <f>INDEX(Таблицы!F2:L11,Таблицы!I1,7)</f>
        <v>1/10</v>
      </c>
      <c r="I38" s="355"/>
      <c r="J38" s="356"/>
      <c r="K38" s="287">
        <f>INDEX(Таблицы!AF2:AL10,Таблицы!I1,7)</f>
        <v>5</v>
      </c>
      <c r="L38" s="287"/>
      <c r="M38" s="287"/>
      <c r="N38" s="227"/>
      <c r="O38" s="227"/>
      <c r="P38" s="227"/>
      <c r="Q38" s="13"/>
      <c r="R38" s="469"/>
      <c r="S38" s="469"/>
      <c r="T38" s="469"/>
      <c r="U38" s="469"/>
      <c r="V38" s="469"/>
      <c r="W38" s="469"/>
      <c r="X38" s="469"/>
      <c r="Y38" s="29"/>
      <c r="Z38" s="19"/>
      <c r="AA38" s="15"/>
      <c r="AB38" s="15"/>
      <c r="AC38" s="172"/>
      <c r="AD38" s="172"/>
      <c r="AE38" s="172"/>
      <c r="AF38" s="172"/>
      <c r="AG38" s="172"/>
      <c r="AH38" s="172"/>
      <c r="AI38" s="172"/>
      <c r="AJ38" s="172"/>
      <c r="AK38" s="435"/>
      <c r="AL38" s="435"/>
      <c r="AM38" s="13"/>
      <c r="AN38" s="228"/>
      <c r="AO38" s="228"/>
      <c r="AP38" s="436"/>
      <c r="AQ38" s="436"/>
      <c r="AR38" s="13"/>
      <c r="AS38" s="13"/>
      <c r="AT38" s="228"/>
      <c r="AU38" s="228"/>
      <c r="AV38" s="13"/>
      <c r="AW38" s="434"/>
      <c r="AX38" s="413"/>
      <c r="AY38" s="413"/>
      <c r="AZ38" s="13"/>
      <c r="BA38" s="434"/>
      <c r="BB38" s="413"/>
      <c r="BC38" s="413"/>
      <c r="BD38" s="13"/>
      <c r="BE38" s="434"/>
      <c r="BF38" s="413"/>
      <c r="BG38" s="413"/>
      <c r="BH38" s="13"/>
      <c r="BI38" s="434"/>
      <c r="BJ38" s="413"/>
      <c r="BK38" s="413"/>
      <c r="BL38" s="22"/>
      <c r="BM38" s="434"/>
      <c r="BN38" s="413"/>
      <c r="BO38" s="413"/>
      <c r="BP38" s="13"/>
      <c r="BQ38" s="29"/>
      <c r="BR38" s="13"/>
    </row>
    <row r="39" spans="1:70" ht="7.5" customHeight="1" thickBot="1">
      <c r="A39" s="16"/>
      <c r="B39" s="463"/>
      <c r="C39" s="464"/>
      <c r="D39" s="440"/>
      <c r="E39" s="440"/>
      <c r="F39" s="441"/>
      <c r="G39" s="13"/>
      <c r="H39" s="357"/>
      <c r="I39" s="358"/>
      <c r="J39" s="359"/>
      <c r="K39" s="228"/>
      <c r="L39" s="228"/>
      <c r="M39" s="228"/>
      <c r="N39" s="227"/>
      <c r="O39" s="227"/>
      <c r="P39" s="227"/>
      <c r="Q39" s="13"/>
      <c r="R39" s="470"/>
      <c r="S39" s="470"/>
      <c r="T39" s="470"/>
      <c r="U39" s="470"/>
      <c r="V39" s="470"/>
      <c r="W39" s="470"/>
      <c r="X39" s="470"/>
      <c r="Y39" s="29"/>
      <c r="Z39" s="19"/>
      <c r="AA39" s="15"/>
      <c r="AB39" s="15"/>
      <c r="AC39" s="172" t="s">
        <v>89</v>
      </c>
      <c r="AD39" s="172"/>
      <c r="AE39" s="172"/>
      <c r="AF39" s="172"/>
      <c r="AG39" s="172"/>
      <c r="AH39" s="172"/>
      <c r="AI39" s="172"/>
      <c r="AJ39" s="172"/>
      <c r="AK39" s="435">
        <f>SUM(AN39:AQ40)+AT39</f>
        <v>20</v>
      </c>
      <c r="AL39" s="435"/>
      <c r="AM39" s="13"/>
      <c r="AN39" s="228">
        <f>IF(D36=0,"",(D32*4)+Таблицы!M166+Таблицы!U166)</f>
        <v>20</v>
      </c>
      <c r="AO39" s="228"/>
      <c r="AP39" s="436"/>
      <c r="AQ39" s="436"/>
      <c r="AR39" s="13"/>
      <c r="AS39" s="13"/>
      <c r="AT39" s="287">
        <f>IF(Таблицы!M166=20,SUM(AX39*2,BB39*2/2,INT(BF39*2/3),INT(BJ39*2/4),INT(BN39*2/5)),SUM(AX39,INT(BB39/2),INT(BF39/3),INT(BJ39/4),INT(BN39/5)))</f>
        <v>0</v>
      </c>
      <c r="AU39" s="287"/>
      <c r="AV39" s="13"/>
      <c r="AW39" s="434"/>
      <c r="AX39" s="413"/>
      <c r="AY39" s="413"/>
      <c r="AZ39" s="13"/>
      <c r="BA39" s="434"/>
      <c r="BB39" s="413"/>
      <c r="BC39" s="413"/>
      <c r="BD39" s="13"/>
      <c r="BE39" s="434"/>
      <c r="BF39" s="413"/>
      <c r="BG39" s="413"/>
      <c r="BH39" s="13"/>
      <c r="BI39" s="434"/>
      <c r="BJ39" s="413"/>
      <c r="BK39" s="413"/>
      <c r="BL39" s="22"/>
      <c r="BM39" s="434"/>
      <c r="BN39" s="413"/>
      <c r="BO39" s="413"/>
      <c r="BP39" s="13"/>
      <c r="BQ39" s="29"/>
      <c r="BR39" s="13"/>
    </row>
    <row r="40" spans="1:70" ht="7.5" customHeight="1">
      <c r="A40" s="65"/>
      <c r="B40" s="67"/>
      <c r="C40" s="67"/>
      <c r="D40" s="46"/>
      <c r="E40" s="46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63"/>
      <c r="X40" s="63"/>
      <c r="Y40" s="66"/>
      <c r="Z40" s="19"/>
      <c r="AA40" s="15"/>
      <c r="AB40" s="15"/>
      <c r="AC40" s="172"/>
      <c r="AD40" s="172"/>
      <c r="AE40" s="172"/>
      <c r="AF40" s="172"/>
      <c r="AG40" s="172"/>
      <c r="AH40" s="172"/>
      <c r="AI40" s="172"/>
      <c r="AJ40" s="172"/>
      <c r="AK40" s="435"/>
      <c r="AL40" s="435"/>
      <c r="AM40" s="13"/>
      <c r="AN40" s="228"/>
      <c r="AO40" s="228"/>
      <c r="AP40" s="436"/>
      <c r="AQ40" s="436"/>
      <c r="AR40" s="13"/>
      <c r="AS40" s="13"/>
      <c r="AT40" s="228"/>
      <c r="AU40" s="228"/>
      <c r="AV40" s="13"/>
      <c r="AW40" s="434"/>
      <c r="AX40" s="413"/>
      <c r="AY40" s="413"/>
      <c r="AZ40" s="13"/>
      <c r="BA40" s="434"/>
      <c r="BB40" s="413"/>
      <c r="BC40" s="413"/>
      <c r="BD40" s="13"/>
      <c r="BE40" s="434"/>
      <c r="BF40" s="413"/>
      <c r="BG40" s="413"/>
      <c r="BH40" s="13"/>
      <c r="BI40" s="434"/>
      <c r="BJ40" s="413"/>
      <c r="BK40" s="413"/>
      <c r="BL40" s="13"/>
      <c r="BM40" s="434"/>
      <c r="BN40" s="413"/>
      <c r="BO40" s="413"/>
      <c r="BP40" s="13"/>
      <c r="BQ40" s="29"/>
      <c r="BR40" s="13"/>
    </row>
    <row r="41" spans="1:70" ht="7.5" customHeight="1" thickBot="1">
      <c r="A41" s="19"/>
      <c r="B41" s="7"/>
      <c r="C41" s="7"/>
      <c r="D41" s="13"/>
      <c r="E41" s="13"/>
      <c r="F41" s="3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4"/>
      <c r="X41" s="4"/>
      <c r="Y41" s="29"/>
      <c r="Z41" s="19"/>
      <c r="AA41" s="15"/>
      <c r="AB41" s="15"/>
      <c r="AC41" s="172" t="s">
        <v>90</v>
      </c>
      <c r="AD41" s="172"/>
      <c r="AE41" s="172"/>
      <c r="AF41" s="172"/>
      <c r="AG41" s="172"/>
      <c r="AH41" s="172"/>
      <c r="AI41" s="172"/>
      <c r="AJ41" s="172"/>
      <c r="AK41" s="435">
        <f>SUM(AN41:AQ42)+AT41</f>
        <v>25</v>
      </c>
      <c r="AL41" s="435"/>
      <c r="AM41" s="13"/>
      <c r="AN41" s="228">
        <f>IF(D36=0,"",(D38*5)+Таблицы!M167+Таблицы!U167)</f>
        <v>25</v>
      </c>
      <c r="AO41" s="228"/>
      <c r="AP41" s="436"/>
      <c r="AQ41" s="436"/>
      <c r="AR41" s="13"/>
      <c r="AS41" s="13"/>
      <c r="AT41" s="287">
        <f>IF(Таблицы!M167=20,SUM(AX41*2,BB41*2/2,INT(BF41*2/3),INT(BJ41*2/4),INT(BN41*2/5)),SUM(AX41,INT(BB41/2),INT(BF41/3),INT(BJ41/4),INT(BN41/5)))</f>
        <v>0</v>
      </c>
      <c r="AU41" s="287"/>
      <c r="AV41" s="13"/>
      <c r="AW41" s="434"/>
      <c r="AX41" s="413"/>
      <c r="AY41" s="413"/>
      <c r="AZ41" s="13"/>
      <c r="BA41" s="434"/>
      <c r="BB41" s="413"/>
      <c r="BC41" s="413"/>
      <c r="BD41" s="13"/>
      <c r="BE41" s="434"/>
      <c r="BF41" s="413"/>
      <c r="BG41" s="413"/>
      <c r="BH41" s="13"/>
      <c r="BI41" s="434"/>
      <c r="BJ41" s="413"/>
      <c r="BK41" s="413"/>
      <c r="BL41" s="13"/>
      <c r="BM41" s="434"/>
      <c r="BN41" s="413"/>
      <c r="BO41" s="413"/>
      <c r="BP41" s="13"/>
      <c r="BQ41" s="29"/>
      <c r="BR41" s="13"/>
    </row>
    <row r="42" spans="1:70" ht="7.5" customHeight="1">
      <c r="A42" s="19"/>
      <c r="B42" s="423" t="s">
        <v>257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 t="s">
        <v>222</v>
      </c>
      <c r="P42" s="424"/>
      <c r="Q42" s="425"/>
      <c r="R42" s="13"/>
      <c r="S42" s="454" t="s">
        <v>74</v>
      </c>
      <c r="T42" s="455"/>
      <c r="U42" s="455"/>
      <c r="V42" s="458" t="s">
        <v>8</v>
      </c>
      <c r="W42" s="458"/>
      <c r="X42" s="459"/>
      <c r="Y42" s="29"/>
      <c r="Z42" s="19"/>
      <c r="AA42" s="15"/>
      <c r="AB42" s="15"/>
      <c r="AC42" s="172"/>
      <c r="AD42" s="172"/>
      <c r="AE42" s="172"/>
      <c r="AF42" s="172"/>
      <c r="AG42" s="172"/>
      <c r="AH42" s="172"/>
      <c r="AI42" s="172"/>
      <c r="AJ42" s="172"/>
      <c r="AK42" s="435"/>
      <c r="AL42" s="435"/>
      <c r="AM42" s="13"/>
      <c r="AN42" s="228"/>
      <c r="AO42" s="228"/>
      <c r="AP42" s="436"/>
      <c r="AQ42" s="436"/>
      <c r="AR42" s="13"/>
      <c r="AS42" s="13"/>
      <c r="AT42" s="228"/>
      <c r="AU42" s="228"/>
      <c r="AV42" s="13"/>
      <c r="AW42" s="434"/>
      <c r="AX42" s="413"/>
      <c r="AY42" s="413"/>
      <c r="AZ42" s="13"/>
      <c r="BA42" s="434"/>
      <c r="BB42" s="413"/>
      <c r="BC42" s="413"/>
      <c r="BD42" s="13"/>
      <c r="BE42" s="434"/>
      <c r="BF42" s="413"/>
      <c r="BG42" s="413"/>
      <c r="BH42" s="13"/>
      <c r="BI42" s="434"/>
      <c r="BJ42" s="413"/>
      <c r="BK42" s="413"/>
      <c r="BL42" s="13"/>
      <c r="BM42" s="434"/>
      <c r="BN42" s="413"/>
      <c r="BO42" s="413"/>
      <c r="BP42" s="13"/>
      <c r="BQ42" s="29"/>
      <c r="BR42" s="13"/>
    </row>
    <row r="43" spans="1:70" ht="7.5" customHeight="1" thickBot="1">
      <c r="A43" s="16"/>
      <c r="B43" s="426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8"/>
      <c r="R43" s="13"/>
      <c r="S43" s="456"/>
      <c r="T43" s="457"/>
      <c r="U43" s="457"/>
      <c r="V43" s="460"/>
      <c r="W43" s="460"/>
      <c r="X43" s="461"/>
      <c r="Y43" s="29"/>
      <c r="Z43" s="19"/>
      <c r="AA43" s="15"/>
      <c r="AB43" s="15"/>
      <c r="AC43" s="172" t="s">
        <v>91</v>
      </c>
      <c r="AD43" s="172"/>
      <c r="AE43" s="172"/>
      <c r="AF43" s="172"/>
      <c r="AG43" s="172"/>
      <c r="AH43" s="172"/>
      <c r="AI43" s="172"/>
      <c r="AJ43" s="172"/>
      <c r="AK43" s="435">
        <f>SUM(AN43:AQ44)+AT43</f>
        <v>20</v>
      </c>
      <c r="AL43" s="435"/>
      <c r="AM43" s="13"/>
      <c r="AN43" s="228">
        <f>IF(D36=0,"",(2*SUM(D34,D30)+Таблицы!M168+Таблицы!U168))</f>
        <v>20</v>
      </c>
      <c r="AO43" s="228"/>
      <c r="AP43" s="436"/>
      <c r="AQ43" s="436"/>
      <c r="AR43" s="13"/>
      <c r="AS43" s="13"/>
      <c r="AT43" s="287">
        <f>IF(Таблицы!M168=20,SUM(AX43*2,BB43*2/2,INT(BF43*2/3),INT(BJ43*2/4),INT(BN43*2/5)),SUM(AX43,INT(BB43/2),INT(BF43/3),INT(BJ43/4),INT(BN43/5)))</f>
        <v>0</v>
      </c>
      <c r="AU43" s="287"/>
      <c r="AV43" s="13"/>
      <c r="AW43" s="434"/>
      <c r="AX43" s="413"/>
      <c r="AY43" s="413"/>
      <c r="AZ43" s="13"/>
      <c r="BA43" s="434"/>
      <c r="BB43" s="413"/>
      <c r="BC43" s="413"/>
      <c r="BD43" s="13"/>
      <c r="BE43" s="434"/>
      <c r="BF43" s="413"/>
      <c r="BG43" s="413"/>
      <c r="BH43" s="13"/>
      <c r="BI43" s="434"/>
      <c r="BJ43" s="413"/>
      <c r="BK43" s="413"/>
      <c r="BL43" s="13"/>
      <c r="BM43" s="434"/>
      <c r="BN43" s="413"/>
      <c r="BO43" s="413"/>
      <c r="BP43" s="13"/>
      <c r="BQ43" s="29"/>
      <c r="BR43" s="13"/>
    </row>
    <row r="44" spans="1:70" ht="7.5" customHeight="1">
      <c r="A44" s="19"/>
      <c r="B44" s="336" t="s">
        <v>72</v>
      </c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287">
        <f>SUM(S44:X45)</f>
        <v>30</v>
      </c>
      <c r="P44" s="287"/>
      <c r="Q44" s="465"/>
      <c r="R44" s="13"/>
      <c r="S44" s="472">
        <f>15+(D26+(2*D30))+G20*(B16-1)+INDEX(Таблицы!T2:T10,Таблицы!I1,1)</f>
        <v>30</v>
      </c>
      <c r="T44" s="472"/>
      <c r="U44" s="472"/>
      <c r="V44" s="254"/>
      <c r="W44" s="254"/>
      <c r="X44" s="254"/>
      <c r="Y44" s="29"/>
      <c r="Z44" s="19"/>
      <c r="AA44" s="15"/>
      <c r="AB44" s="8"/>
      <c r="AC44" s="172"/>
      <c r="AD44" s="172"/>
      <c r="AE44" s="172"/>
      <c r="AF44" s="172"/>
      <c r="AG44" s="172"/>
      <c r="AH44" s="172"/>
      <c r="AI44" s="172"/>
      <c r="AJ44" s="172"/>
      <c r="AK44" s="435"/>
      <c r="AL44" s="435"/>
      <c r="AM44" s="13"/>
      <c r="AN44" s="228"/>
      <c r="AO44" s="228"/>
      <c r="AP44" s="436"/>
      <c r="AQ44" s="436"/>
      <c r="AR44" s="15"/>
      <c r="AS44" s="13"/>
      <c r="AT44" s="228"/>
      <c r="AU44" s="228"/>
      <c r="AV44" s="13"/>
      <c r="AW44" s="434"/>
      <c r="AX44" s="413"/>
      <c r="AY44" s="413"/>
      <c r="AZ44" s="13"/>
      <c r="BA44" s="434"/>
      <c r="BB44" s="413"/>
      <c r="BC44" s="413"/>
      <c r="BD44" s="13"/>
      <c r="BE44" s="434"/>
      <c r="BF44" s="413"/>
      <c r="BG44" s="413"/>
      <c r="BH44" s="13"/>
      <c r="BI44" s="434"/>
      <c r="BJ44" s="413"/>
      <c r="BK44" s="413"/>
      <c r="BL44" s="13"/>
      <c r="BM44" s="434"/>
      <c r="BN44" s="413"/>
      <c r="BO44" s="413"/>
      <c r="BP44" s="13"/>
      <c r="BQ44" s="29"/>
      <c r="BR44" s="13"/>
    </row>
    <row r="45" spans="1:81" ht="7.5" customHeight="1">
      <c r="A45" s="16"/>
      <c r="B45" s="408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228"/>
      <c r="P45" s="228"/>
      <c r="Q45" s="439"/>
      <c r="R45" s="13"/>
      <c r="S45" s="473"/>
      <c r="T45" s="473"/>
      <c r="U45" s="473"/>
      <c r="V45" s="227"/>
      <c r="W45" s="227"/>
      <c r="X45" s="227"/>
      <c r="Y45" s="29"/>
      <c r="Z45" s="65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66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</row>
    <row r="46" spans="1:70" ht="7.5" customHeight="1" thickBot="1">
      <c r="A46" s="19"/>
      <c r="B46" s="408" t="s">
        <v>259</v>
      </c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228">
        <f>SUM(S46:X47)</f>
        <v>150</v>
      </c>
      <c r="P46" s="228"/>
      <c r="Q46" s="439"/>
      <c r="R46" s="13"/>
      <c r="S46" s="471">
        <f>IF(OR(Таблицы!F165=4,Таблицы!F166=4),D26*15,25+(D26*25))</f>
        <v>150</v>
      </c>
      <c r="T46" s="471"/>
      <c r="U46" s="471"/>
      <c r="V46" s="227"/>
      <c r="W46" s="227"/>
      <c r="X46" s="227"/>
      <c r="Y46" s="29"/>
      <c r="Z46" s="19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5"/>
      <c r="AX46" s="15"/>
      <c r="AY46" s="15"/>
      <c r="AZ46" s="15"/>
      <c r="BA46" s="15"/>
      <c r="BB46" s="15"/>
      <c r="BC46" s="15"/>
      <c r="BD46" s="15"/>
      <c r="BE46" s="13"/>
      <c r="BF46" s="13"/>
      <c r="BG46" s="13"/>
      <c r="BH46" s="15"/>
      <c r="BI46" s="15"/>
      <c r="BJ46" s="13"/>
      <c r="BK46" s="13"/>
      <c r="BL46" s="13"/>
      <c r="BM46" s="13"/>
      <c r="BN46" s="13"/>
      <c r="BO46" s="13"/>
      <c r="BP46" s="13"/>
      <c r="BQ46" s="29"/>
      <c r="BR46" s="13"/>
    </row>
    <row r="47" spans="1:70" ht="7.5" customHeight="1">
      <c r="A47" s="16"/>
      <c r="B47" s="408"/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228"/>
      <c r="P47" s="228"/>
      <c r="Q47" s="439"/>
      <c r="R47" s="13"/>
      <c r="S47" s="471"/>
      <c r="T47" s="471"/>
      <c r="U47" s="471"/>
      <c r="V47" s="227"/>
      <c r="W47" s="227"/>
      <c r="X47" s="227"/>
      <c r="Y47" s="29"/>
      <c r="Z47" s="19"/>
      <c r="AA47" s="13"/>
      <c r="AH47" s="176" t="s">
        <v>96</v>
      </c>
      <c r="AI47" s="177"/>
      <c r="AJ47" s="177"/>
      <c r="AK47" s="177"/>
      <c r="AL47" s="177"/>
      <c r="AM47" s="177"/>
      <c r="AN47" s="177"/>
      <c r="AO47" s="177"/>
      <c r="AP47" s="177"/>
      <c r="AQ47" s="177"/>
      <c r="AR47" s="178"/>
      <c r="AS47" s="23"/>
      <c r="AT47" s="402" t="s">
        <v>102</v>
      </c>
      <c r="AU47" s="263"/>
      <c r="AV47" s="263"/>
      <c r="AW47" s="263"/>
      <c r="AX47" s="263"/>
      <c r="AY47" s="263"/>
      <c r="AZ47" s="263"/>
      <c r="BA47" s="263"/>
      <c r="BB47" s="262" t="s">
        <v>276</v>
      </c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4"/>
      <c r="BP47" s="13"/>
      <c r="BQ47" s="29"/>
      <c r="BR47" s="13"/>
    </row>
    <row r="48" spans="1:70" ht="7.5" customHeight="1">
      <c r="A48" s="19"/>
      <c r="B48" s="408" t="s">
        <v>260</v>
      </c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228">
        <f>SUM(S48:X49)</f>
        <v>7</v>
      </c>
      <c r="P48" s="228"/>
      <c r="Q48" s="439"/>
      <c r="R48" s="13"/>
      <c r="S48" s="471">
        <f>IF(K26="","",SUM(ROUNDDOWN(5+(D36/2),0),IF(OR(Таблицы!F165=3,Таблицы!F166=3),Таблицы!L39,0)))</f>
        <v>7</v>
      </c>
      <c r="T48" s="471"/>
      <c r="U48" s="471"/>
      <c r="V48" s="227"/>
      <c r="W48" s="227"/>
      <c r="X48" s="227"/>
      <c r="Y48" s="29"/>
      <c r="Z48" s="19"/>
      <c r="AA48" s="4"/>
      <c r="AH48" s="179"/>
      <c r="AI48" s="180"/>
      <c r="AJ48" s="180"/>
      <c r="AK48" s="180"/>
      <c r="AL48" s="180"/>
      <c r="AM48" s="180"/>
      <c r="AN48" s="180"/>
      <c r="AO48" s="180"/>
      <c r="AP48" s="180"/>
      <c r="AQ48" s="180"/>
      <c r="AR48" s="181"/>
      <c r="AS48" s="23"/>
      <c r="AT48" s="403"/>
      <c r="AU48" s="266"/>
      <c r="AV48" s="266"/>
      <c r="AW48" s="266"/>
      <c r="AX48" s="266"/>
      <c r="AY48" s="266"/>
      <c r="AZ48" s="266"/>
      <c r="BA48" s="266"/>
      <c r="BB48" s="265"/>
      <c r="BC48" s="266"/>
      <c r="BD48" s="266"/>
      <c r="BE48" s="266"/>
      <c r="BF48" s="266"/>
      <c r="BG48" s="266"/>
      <c r="BH48" s="266"/>
      <c r="BI48" s="266"/>
      <c r="BJ48" s="266"/>
      <c r="BK48" s="266"/>
      <c r="BL48" s="266"/>
      <c r="BM48" s="266"/>
      <c r="BN48" s="266"/>
      <c r="BO48" s="267"/>
      <c r="BP48" s="13"/>
      <c r="BQ48" s="29"/>
      <c r="BR48" s="13"/>
    </row>
    <row r="49" spans="1:70" ht="7.5" customHeight="1" thickBot="1">
      <c r="A49" s="24"/>
      <c r="B49" s="40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228"/>
      <c r="P49" s="228"/>
      <c r="Q49" s="439"/>
      <c r="R49" s="13"/>
      <c r="S49" s="471"/>
      <c r="T49" s="471"/>
      <c r="U49" s="471"/>
      <c r="V49" s="227"/>
      <c r="W49" s="227"/>
      <c r="X49" s="227"/>
      <c r="Y49" s="29"/>
      <c r="Z49" s="3"/>
      <c r="AA49" s="4"/>
      <c r="AH49" s="173"/>
      <c r="AI49" s="174"/>
      <c r="AJ49" s="174"/>
      <c r="AK49" s="174"/>
      <c r="AL49" s="174"/>
      <c r="AM49" s="174"/>
      <c r="AN49" s="174"/>
      <c r="AO49" s="174"/>
      <c r="AP49" s="174"/>
      <c r="AQ49" s="174"/>
      <c r="AR49" s="175"/>
      <c r="AS49" s="13"/>
      <c r="AT49" s="404"/>
      <c r="AU49" s="269"/>
      <c r="AV49" s="269"/>
      <c r="AW49" s="269"/>
      <c r="AX49" s="269"/>
      <c r="AY49" s="269"/>
      <c r="AZ49" s="269"/>
      <c r="BA49" s="269"/>
      <c r="BB49" s="268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70"/>
      <c r="BP49" s="13"/>
      <c r="BQ49" s="29"/>
      <c r="BR49" s="13"/>
    </row>
    <row r="50" spans="1:70" ht="7.5" customHeight="1">
      <c r="A50" s="24"/>
      <c r="B50" s="408" t="s">
        <v>261</v>
      </c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228">
        <f>SUM(S50:X51)</f>
        <v>10</v>
      </c>
      <c r="P50" s="228"/>
      <c r="Q50" s="439"/>
      <c r="R50" s="13"/>
      <c r="S50" s="471">
        <f>IF(OR(Таблицы!F165=7,Таблицы!F166=7),SUM(2*D28,Таблицы!L44),2*D28)</f>
        <v>10</v>
      </c>
      <c r="T50" s="471"/>
      <c r="U50" s="471"/>
      <c r="V50" s="227"/>
      <c r="W50" s="227"/>
      <c r="X50" s="227"/>
      <c r="Y50" s="29"/>
      <c r="Z50" s="19"/>
      <c r="AA50" s="13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13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13"/>
      <c r="BQ50" s="29"/>
      <c r="BR50" s="13"/>
    </row>
    <row r="51" spans="1:70" ht="7.5" customHeight="1">
      <c r="A51" s="19"/>
      <c r="B51" s="408"/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228"/>
      <c r="P51" s="228"/>
      <c r="Q51" s="439"/>
      <c r="R51" s="4"/>
      <c r="S51" s="471"/>
      <c r="T51" s="471"/>
      <c r="U51" s="471"/>
      <c r="V51" s="227"/>
      <c r="W51" s="227"/>
      <c r="X51" s="227"/>
      <c r="Y51" s="37"/>
      <c r="Z51" s="19"/>
      <c r="AA51" s="4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13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13"/>
      <c r="BQ51" s="29"/>
      <c r="BR51" s="13"/>
    </row>
    <row r="52" spans="1:70" ht="7.5" customHeight="1">
      <c r="A52" s="16"/>
      <c r="B52" s="408" t="s">
        <v>262</v>
      </c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228">
        <f>SUM(S52:X53)</f>
        <v>1</v>
      </c>
      <c r="P52" s="228"/>
      <c r="Q52" s="439"/>
      <c r="R52" s="4"/>
      <c r="S52" s="471">
        <f>IF(K26="","",SUM(VLOOKUP(D26,Таблицы!E12:F26,2,FALSE)+IF(Таблицы!I1=5,5,0),IF(OR(Таблицы!F165=8,Таблицы!F166=8),Таблицы!L45,0),IF(OR(Таблицы!F165=24,Таблицы!F166=24),Таблицы!L60,0)))</f>
        <v>1</v>
      </c>
      <c r="T52" s="471"/>
      <c r="U52" s="471"/>
      <c r="V52" s="227"/>
      <c r="W52" s="227"/>
      <c r="X52" s="227"/>
      <c r="Y52" s="37"/>
      <c r="Z52" s="3"/>
      <c r="AA52" s="4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13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13"/>
      <c r="BQ52" s="29"/>
      <c r="BR52" s="13"/>
    </row>
    <row r="53" spans="1:70" ht="7.5" customHeight="1">
      <c r="A53" s="19"/>
      <c r="B53" s="40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228"/>
      <c r="P53" s="228"/>
      <c r="Q53" s="439"/>
      <c r="R53" s="13"/>
      <c r="S53" s="471"/>
      <c r="T53" s="471"/>
      <c r="U53" s="471"/>
      <c r="V53" s="227"/>
      <c r="W53" s="227"/>
      <c r="X53" s="227"/>
      <c r="Y53" s="29"/>
      <c r="Z53" s="19"/>
      <c r="AA53" s="13"/>
      <c r="AH53" s="406" t="str">
        <f>INDEX(Таблицы!P35:W63,Таблицы!F165,Таблицы!I1)</f>
        <v> </v>
      </c>
      <c r="AI53" s="406"/>
      <c r="AJ53" s="406"/>
      <c r="AK53" s="406"/>
      <c r="AL53" s="406"/>
      <c r="AM53" s="406"/>
      <c r="AN53" s="406"/>
      <c r="AO53" s="406"/>
      <c r="AP53" s="406"/>
      <c r="AQ53" s="406"/>
      <c r="AR53" s="406"/>
      <c r="AS53" s="13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13"/>
      <c r="BQ53" s="29"/>
      <c r="BR53" s="13"/>
    </row>
    <row r="54" spans="1:70" ht="7.5" customHeight="1">
      <c r="A54" s="16"/>
      <c r="B54" s="408" t="s">
        <v>263</v>
      </c>
      <c r="C54" s="398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497">
        <f>SUM(S54:X55)</f>
        <v>0.05</v>
      </c>
      <c r="P54" s="497"/>
      <c r="Q54" s="498"/>
      <c r="R54" s="4"/>
      <c r="S54" s="482">
        <f>IF(OR(Таблицы!F165=6,Таблицы!F166=6),SUM(D38/100,Таблицы!L42),D38/100)</f>
        <v>0.05</v>
      </c>
      <c r="T54" s="482"/>
      <c r="U54" s="482"/>
      <c r="V54" s="495"/>
      <c r="W54" s="495"/>
      <c r="X54" s="495"/>
      <c r="Y54" s="37"/>
      <c r="Z54" s="19"/>
      <c r="AA54" s="4"/>
      <c r="AH54" s="406"/>
      <c r="AI54" s="406"/>
      <c r="AJ54" s="406"/>
      <c r="AK54" s="406"/>
      <c r="AL54" s="406"/>
      <c r="AM54" s="406"/>
      <c r="AN54" s="406"/>
      <c r="AO54" s="406"/>
      <c r="AP54" s="406"/>
      <c r="AQ54" s="406"/>
      <c r="AR54" s="406"/>
      <c r="AS54" s="13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13"/>
      <c r="BQ54" s="29"/>
      <c r="BR54" s="13"/>
    </row>
    <row r="55" spans="1:70" ht="7.5" customHeight="1">
      <c r="A55" s="19"/>
      <c r="B55" s="40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497"/>
      <c r="P55" s="497"/>
      <c r="Q55" s="498"/>
      <c r="R55" s="4"/>
      <c r="S55" s="482"/>
      <c r="T55" s="482"/>
      <c r="U55" s="482"/>
      <c r="V55" s="495"/>
      <c r="W55" s="495"/>
      <c r="X55" s="495"/>
      <c r="Y55" s="37"/>
      <c r="Z55" s="3"/>
      <c r="AA55" s="4"/>
      <c r="AH55" s="406"/>
      <c r="AI55" s="406"/>
      <c r="AJ55" s="406"/>
      <c r="AK55" s="406"/>
      <c r="AL55" s="406"/>
      <c r="AM55" s="406"/>
      <c r="AN55" s="406"/>
      <c r="AO55" s="406"/>
      <c r="AP55" s="406"/>
      <c r="AQ55" s="406"/>
      <c r="AR55" s="406"/>
      <c r="AS55" s="13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13"/>
      <c r="BQ55" s="29"/>
      <c r="BR55" s="13"/>
    </row>
    <row r="56" spans="1:70" ht="7.5" customHeight="1">
      <c r="A56" s="16"/>
      <c r="B56" s="408" t="s">
        <v>264</v>
      </c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228">
        <f>SUM(S56:X57)</f>
        <v>1</v>
      </c>
      <c r="P56" s="228"/>
      <c r="Q56" s="439"/>
      <c r="R56" s="13"/>
      <c r="S56" s="471">
        <f>IF(D30=0,"",SUM(VLOOKUP(D30,Таблицы!H12:I25,2,FALSE),IF(OR(Таблицы!F165=2,Таблицы!F166=2),2,0)))</f>
        <v>1</v>
      </c>
      <c r="T56" s="471"/>
      <c r="U56" s="471"/>
      <c r="V56" s="227"/>
      <c r="W56" s="227"/>
      <c r="X56" s="227"/>
      <c r="Y56" s="29"/>
      <c r="Z56" s="19"/>
      <c r="AA56" s="13"/>
      <c r="AH56" s="406"/>
      <c r="AI56" s="406"/>
      <c r="AJ56" s="406"/>
      <c r="AK56" s="406"/>
      <c r="AL56" s="406"/>
      <c r="AM56" s="406"/>
      <c r="AN56" s="406"/>
      <c r="AO56" s="406"/>
      <c r="AP56" s="406"/>
      <c r="AQ56" s="406"/>
      <c r="AR56" s="406"/>
      <c r="AS56" s="13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13"/>
      <c r="BQ56" s="29"/>
      <c r="BR56" s="13"/>
    </row>
    <row r="57" spans="1:70" ht="7.5" customHeight="1">
      <c r="A57" s="19"/>
      <c r="B57" s="408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228"/>
      <c r="P57" s="228"/>
      <c r="Q57" s="439"/>
      <c r="R57" s="4"/>
      <c r="S57" s="471"/>
      <c r="T57" s="471"/>
      <c r="U57" s="471"/>
      <c r="V57" s="227"/>
      <c r="W57" s="227"/>
      <c r="X57" s="227"/>
      <c r="Y57" s="37"/>
      <c r="Z57" s="19"/>
      <c r="AA57" s="4"/>
      <c r="AH57" s="406"/>
      <c r="AI57" s="406"/>
      <c r="AJ57" s="406"/>
      <c r="AK57" s="406"/>
      <c r="AL57" s="406"/>
      <c r="AM57" s="406"/>
      <c r="AN57" s="406"/>
      <c r="AO57" s="406"/>
      <c r="AP57" s="406"/>
      <c r="AQ57" s="406"/>
      <c r="AR57" s="406"/>
      <c r="AS57" s="13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13"/>
      <c r="BQ57" s="29"/>
      <c r="BR57" s="13"/>
    </row>
    <row r="58" spans="1:70" ht="7.5" customHeight="1">
      <c r="A58" s="16"/>
      <c r="B58" s="408" t="s">
        <v>265</v>
      </c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497">
        <f>SUM(S58:X59)</f>
        <v>0.25</v>
      </c>
      <c r="P58" s="497"/>
      <c r="Q58" s="498"/>
      <c r="R58" s="4"/>
      <c r="S58" s="482">
        <f>IF(D30=0,"",SUM(IF(OR(Таблицы!F165=2,Таблицы!F166=2),INDEX(Таблицы!F2:S10,Таблицы!I1,11),IF(((5*D30)/100)+INDEX(Таблицы!F2:S10,Таблицы!I1,11)&gt;1,1,((5*D30)/100)+INDEX(Таблицы!F2:S10,Таблицы!I1,11)))))</f>
        <v>0.25</v>
      </c>
      <c r="T58" s="482"/>
      <c r="U58" s="482"/>
      <c r="V58" s="495"/>
      <c r="W58" s="495"/>
      <c r="X58" s="495"/>
      <c r="Y58" s="37"/>
      <c r="Z58" s="3"/>
      <c r="AA58" s="4"/>
      <c r="AH58" s="406"/>
      <c r="AI58" s="406"/>
      <c r="AJ58" s="406"/>
      <c r="AK58" s="406"/>
      <c r="AL58" s="406"/>
      <c r="AM58" s="406"/>
      <c r="AN58" s="406"/>
      <c r="AO58" s="406"/>
      <c r="AP58" s="406"/>
      <c r="AQ58" s="406"/>
      <c r="AR58" s="406"/>
      <c r="AS58" s="13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13"/>
      <c r="BQ58" s="29"/>
      <c r="BR58" s="13"/>
    </row>
    <row r="59" spans="1:70" ht="7.5" customHeight="1">
      <c r="A59" s="19"/>
      <c r="B59" s="40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497"/>
      <c r="P59" s="497"/>
      <c r="Q59" s="498"/>
      <c r="R59" s="13"/>
      <c r="S59" s="482"/>
      <c r="T59" s="482"/>
      <c r="U59" s="482"/>
      <c r="V59" s="495"/>
      <c r="W59" s="495"/>
      <c r="X59" s="495"/>
      <c r="Y59" s="29"/>
      <c r="Z59" s="19"/>
      <c r="AA59" s="13"/>
      <c r="AH59" s="407"/>
      <c r="AI59" s="407"/>
      <c r="AJ59" s="407"/>
      <c r="AK59" s="407"/>
      <c r="AL59" s="407"/>
      <c r="AM59" s="407"/>
      <c r="AN59" s="407"/>
      <c r="AO59" s="407"/>
      <c r="AP59" s="407"/>
      <c r="AQ59" s="407"/>
      <c r="AR59" s="407"/>
      <c r="AS59" s="13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13"/>
      <c r="BQ59" s="29"/>
      <c r="BR59" s="13"/>
    </row>
    <row r="60" spans="1:70" ht="7.5" customHeight="1">
      <c r="A60" s="16"/>
      <c r="B60" s="408" t="s">
        <v>266</v>
      </c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497">
        <f>SUM(S60:X61)</f>
        <v>0.1</v>
      </c>
      <c r="P60" s="497"/>
      <c r="Q60" s="498"/>
      <c r="R60" s="4"/>
      <c r="S60" s="482">
        <f>IF(OR(Таблицы!F165=19,Таблицы!F166=19),SUM(Таблицы!L56,IF(D30=0,"",IF(OR(Таблицы!F165=2,Таблицы!F166=2),INDEX(Таблицы!F2:S10,Таблицы!I1,12),IF(((2*D30)/100)+INDEX(Таблицы!F2:S10,Таблицы!I1,12)&gt;1,1,((2*D30)/100)+INDEX(Таблицы!F2:S10,Таблицы!I1,12))))),IF(D30=0,"",IF(OR(Таблицы!F165=2,Таблицы!F166=2),INDEX(Таблицы!F2:S10,Таблицы!I1,12),IF(((2*D30)/100)+INDEX(Таблицы!F2:S10,Таблицы!I1,12)&gt;1,1,((2*D30)/100)+INDEX(Таблицы!F2:S10,Таблицы!I1,12)))))</f>
        <v>0.1</v>
      </c>
      <c r="T60" s="482"/>
      <c r="U60" s="482"/>
      <c r="V60" s="495"/>
      <c r="W60" s="495"/>
      <c r="X60" s="495"/>
      <c r="Y60" s="37"/>
      <c r="Z60" s="19"/>
      <c r="AA60" s="4"/>
      <c r="AH60" s="407"/>
      <c r="AI60" s="407"/>
      <c r="AJ60" s="407"/>
      <c r="AK60" s="407"/>
      <c r="AL60" s="407"/>
      <c r="AM60" s="407"/>
      <c r="AN60" s="407"/>
      <c r="AO60" s="407"/>
      <c r="AP60" s="407"/>
      <c r="AQ60" s="407"/>
      <c r="AR60" s="407"/>
      <c r="AS60" s="13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13"/>
      <c r="BQ60" s="29"/>
      <c r="BR60" s="13"/>
    </row>
    <row r="61" spans="1:70" ht="7.5" customHeight="1">
      <c r="A61" s="19"/>
      <c r="B61" s="408"/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497"/>
      <c r="P61" s="497"/>
      <c r="Q61" s="498"/>
      <c r="R61" s="4"/>
      <c r="S61" s="482"/>
      <c r="T61" s="482"/>
      <c r="U61" s="482"/>
      <c r="V61" s="495"/>
      <c r="W61" s="495"/>
      <c r="X61" s="495"/>
      <c r="Y61" s="37"/>
      <c r="Z61" s="3"/>
      <c r="AA61" s="4"/>
      <c r="AH61" s="407"/>
      <c r="AI61" s="407"/>
      <c r="AJ61" s="407"/>
      <c r="AK61" s="407"/>
      <c r="AL61" s="407"/>
      <c r="AM61" s="407"/>
      <c r="AN61" s="407"/>
      <c r="AO61" s="407"/>
      <c r="AP61" s="407"/>
      <c r="AQ61" s="407"/>
      <c r="AR61" s="407"/>
      <c r="AS61" s="13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13"/>
      <c r="BQ61" s="29"/>
      <c r="BR61" s="13"/>
    </row>
    <row r="62" spans="1:70" ht="7.5" customHeight="1">
      <c r="A62" s="16"/>
      <c r="B62" s="408" t="s">
        <v>267</v>
      </c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54" t="str">
        <f>IF(S62="ИММУНИТЕТ","100/100",IF(V62="",S62,CONCATENATE(SUM(LEFT(S62,2)*1,LEFT(V62,2)*1),"/",SUM(RIGHT(S62,2)*1,RIGHT(V62,2)*1))))</f>
        <v>00/00</v>
      </c>
      <c r="P62" s="355"/>
      <c r="Q62" s="493"/>
      <c r="R62" s="13"/>
      <c r="S62" s="471" t="str">
        <f>IF(D28=0,"",INDEX(Таблицы!F2:N10,Таблицы!I1,9))</f>
        <v>00/00</v>
      </c>
      <c r="T62" s="471"/>
      <c r="U62" s="471"/>
      <c r="V62" s="496"/>
      <c r="W62" s="496"/>
      <c r="X62" s="496"/>
      <c r="Y62" s="29"/>
      <c r="Z62" s="19"/>
      <c r="AA62" s="13"/>
      <c r="AH62" s="406" t="str">
        <f>INDEX(Таблицы!P35:W63,Таблицы!F166,Таблицы!I1)</f>
        <v> </v>
      </c>
      <c r="AI62" s="406"/>
      <c r="AJ62" s="406"/>
      <c r="AK62" s="406"/>
      <c r="AL62" s="406"/>
      <c r="AM62" s="406"/>
      <c r="AN62" s="406"/>
      <c r="AO62" s="406"/>
      <c r="AP62" s="406"/>
      <c r="AQ62" s="406"/>
      <c r="AR62" s="406"/>
      <c r="AS62" s="13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13"/>
      <c r="BQ62" s="29"/>
      <c r="BR62" s="13"/>
    </row>
    <row r="63" spans="1:70" ht="7.5" customHeight="1">
      <c r="A63" s="19"/>
      <c r="B63" s="408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57"/>
      <c r="P63" s="358"/>
      <c r="Q63" s="494"/>
      <c r="R63" s="4"/>
      <c r="S63" s="471"/>
      <c r="T63" s="471"/>
      <c r="U63" s="471"/>
      <c r="V63" s="496"/>
      <c r="W63" s="496"/>
      <c r="X63" s="496"/>
      <c r="Y63" s="37"/>
      <c r="Z63" s="19"/>
      <c r="AA63" s="4"/>
      <c r="AH63" s="406"/>
      <c r="AI63" s="406"/>
      <c r="AJ63" s="406"/>
      <c r="AK63" s="406"/>
      <c r="AL63" s="406"/>
      <c r="AM63" s="406"/>
      <c r="AN63" s="406"/>
      <c r="AO63" s="406"/>
      <c r="AP63" s="406"/>
      <c r="AQ63" s="406"/>
      <c r="AR63" s="406"/>
      <c r="AS63" s="13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2"/>
      <c r="BP63" s="13"/>
      <c r="BQ63" s="29"/>
      <c r="BR63" s="13"/>
    </row>
    <row r="64" spans="1:70" ht="7.5" customHeight="1">
      <c r="A64" s="16"/>
      <c r="B64" s="408" t="s">
        <v>268</v>
      </c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497">
        <f>SUM(S64:X65)</f>
        <v>0.1</v>
      </c>
      <c r="P64" s="497"/>
      <c r="Q64" s="498"/>
      <c r="R64" s="4"/>
      <c r="S64" s="482">
        <f>IF(D26=0,"",INDEX(Таблицы!F2:M10,Таблицы!I1,8))</f>
        <v>0.1</v>
      </c>
      <c r="T64" s="482"/>
      <c r="U64" s="482"/>
      <c r="V64" s="495"/>
      <c r="W64" s="495"/>
      <c r="X64" s="495"/>
      <c r="Y64" s="37"/>
      <c r="Z64" s="3"/>
      <c r="AA64" s="4"/>
      <c r="AH64" s="406"/>
      <c r="AI64" s="406"/>
      <c r="AJ64" s="406"/>
      <c r="AK64" s="406"/>
      <c r="AL64" s="406"/>
      <c r="AM64" s="406"/>
      <c r="AN64" s="406"/>
      <c r="AO64" s="406"/>
      <c r="AP64" s="406"/>
      <c r="AQ64" s="406"/>
      <c r="AR64" s="406"/>
      <c r="AS64" s="13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13"/>
      <c r="BQ64" s="29"/>
      <c r="BR64" s="13"/>
    </row>
    <row r="65" spans="1:70" ht="7.5" customHeight="1">
      <c r="A65" s="19"/>
      <c r="B65" s="40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497"/>
      <c r="P65" s="497"/>
      <c r="Q65" s="498"/>
      <c r="R65" s="13"/>
      <c r="S65" s="482"/>
      <c r="T65" s="482"/>
      <c r="U65" s="482"/>
      <c r="V65" s="495"/>
      <c r="W65" s="495"/>
      <c r="X65" s="495"/>
      <c r="Y65" s="29"/>
      <c r="Z65" s="19"/>
      <c r="AA65" s="13"/>
      <c r="AH65" s="406"/>
      <c r="AI65" s="406"/>
      <c r="AJ65" s="406"/>
      <c r="AK65" s="406"/>
      <c r="AL65" s="406"/>
      <c r="AM65" s="406"/>
      <c r="AN65" s="406"/>
      <c r="AO65" s="406"/>
      <c r="AP65" s="406"/>
      <c r="AQ65" s="406"/>
      <c r="AR65" s="406"/>
      <c r="AS65" s="13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13"/>
      <c r="BQ65" s="29"/>
      <c r="BR65" s="13"/>
    </row>
    <row r="66" spans="1:70" ht="7.5" customHeight="1">
      <c r="A66" s="20"/>
      <c r="B66" s="408" t="s">
        <v>269</v>
      </c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228">
        <f>SUM(S66:X67)</f>
        <v>5</v>
      </c>
      <c r="P66" s="228"/>
      <c r="Q66" s="439"/>
      <c r="R66" s="4"/>
      <c r="S66" s="471">
        <f>IF(OR(Таблицы!F165=22,Таблицы!F166=22),SUM(IF(OR(Таблицы!F165=7,Таблицы!F166=7),Таблицы!L43,D36),Таблицы!L58),IF(OR(Таблицы!F165=7,Таблицы!F166=7),Таблицы!L43,D36))</f>
        <v>5</v>
      </c>
      <c r="T66" s="471"/>
      <c r="U66" s="471"/>
      <c r="V66" s="227"/>
      <c r="W66" s="227"/>
      <c r="X66" s="227"/>
      <c r="Y66" s="37"/>
      <c r="Z66" s="19"/>
      <c r="AA66" s="4"/>
      <c r="AH66" s="406"/>
      <c r="AI66" s="406"/>
      <c r="AJ66" s="406"/>
      <c r="AK66" s="406"/>
      <c r="AL66" s="406"/>
      <c r="AM66" s="406"/>
      <c r="AN66" s="406"/>
      <c r="AO66" s="406"/>
      <c r="AP66" s="406"/>
      <c r="AQ66" s="406"/>
      <c r="AR66" s="406"/>
      <c r="AS66" s="13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13"/>
      <c r="BQ66" s="29"/>
      <c r="BR66" s="13"/>
    </row>
    <row r="67" spans="1:75" ht="7.5" customHeight="1" thickBot="1">
      <c r="A67" s="20"/>
      <c r="B67" s="337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440"/>
      <c r="P67" s="440"/>
      <c r="Q67" s="441"/>
      <c r="R67" s="4"/>
      <c r="S67" s="471"/>
      <c r="T67" s="471"/>
      <c r="U67" s="471"/>
      <c r="V67" s="227"/>
      <c r="W67" s="227"/>
      <c r="X67" s="227"/>
      <c r="Y67" s="37"/>
      <c r="Z67" s="3"/>
      <c r="AA67" s="4"/>
      <c r="AH67" s="406"/>
      <c r="AI67" s="406"/>
      <c r="AJ67" s="406"/>
      <c r="AK67" s="406"/>
      <c r="AL67" s="406"/>
      <c r="AM67" s="406"/>
      <c r="AN67" s="406"/>
      <c r="AO67" s="406"/>
      <c r="AP67" s="406"/>
      <c r="AQ67" s="406"/>
      <c r="AR67" s="406"/>
      <c r="AS67" s="13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13"/>
      <c r="BQ67" s="29"/>
      <c r="BR67" s="13"/>
      <c r="BS67" s="13"/>
      <c r="BT67" s="13"/>
      <c r="BU67" s="13"/>
      <c r="BV67" s="13"/>
      <c r="BW67" s="25"/>
    </row>
    <row r="68" spans="1:75" ht="7.5" customHeight="1" thickBot="1">
      <c r="A68" s="18"/>
      <c r="B68" s="6"/>
      <c r="C68" s="6"/>
      <c r="D68" s="6"/>
      <c r="E68" s="6"/>
      <c r="F68" s="38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3"/>
      <c r="Z68" s="32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43"/>
      <c r="BC68" s="43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3"/>
      <c r="BR68" s="13"/>
      <c r="BS68" s="13"/>
      <c r="BT68" s="13"/>
      <c r="BU68" s="13"/>
      <c r="BV68" s="13"/>
      <c r="BW68" s="25"/>
    </row>
    <row r="69" spans="1:69" ht="7.5" customHeight="1" thickBot="1">
      <c r="A69" s="34"/>
      <c r="B69" s="12"/>
      <c r="C69" s="12"/>
      <c r="D69" s="12"/>
      <c r="E69" s="12"/>
      <c r="F69" s="27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72"/>
      <c r="AC69" s="74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28"/>
    </row>
    <row r="70" spans="1:69" ht="7.5" customHeight="1">
      <c r="A70" s="19"/>
      <c r="B70" s="198" t="s">
        <v>277</v>
      </c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200"/>
      <c r="AB70" s="55"/>
      <c r="AC70" s="50"/>
      <c r="AD70" s="198" t="s">
        <v>290</v>
      </c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200"/>
      <c r="BD70" s="13"/>
      <c r="BE70" s="288" t="s">
        <v>325</v>
      </c>
      <c r="BF70" s="289"/>
      <c r="BG70" s="289"/>
      <c r="BH70" s="290"/>
      <c r="BI70" s="280" t="s">
        <v>307</v>
      </c>
      <c r="BJ70" s="280"/>
      <c r="BK70" s="280"/>
      <c r="BL70" s="280"/>
      <c r="BM70" s="280"/>
      <c r="BN70" s="280"/>
      <c r="BO70" s="280"/>
      <c r="BP70" s="281"/>
      <c r="BQ70" s="29"/>
    </row>
    <row r="71" spans="1:69" ht="7.5" customHeight="1" thickBot="1">
      <c r="A71" s="19"/>
      <c r="B71" s="201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3"/>
      <c r="AB71" s="55"/>
      <c r="AC71" s="50"/>
      <c r="AD71" s="201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3"/>
      <c r="BD71" s="13"/>
      <c r="BE71" s="291"/>
      <c r="BF71" s="292"/>
      <c r="BG71" s="292"/>
      <c r="BH71" s="293"/>
      <c r="BI71" s="282"/>
      <c r="BJ71" s="282"/>
      <c r="BK71" s="282"/>
      <c r="BL71" s="282"/>
      <c r="BM71" s="282"/>
      <c r="BN71" s="282"/>
      <c r="BO71" s="282"/>
      <c r="BP71" s="283"/>
      <c r="BQ71" s="29"/>
    </row>
    <row r="72" spans="1:69" ht="7.5" customHeight="1" thickBot="1">
      <c r="A72" s="19"/>
      <c r="B72" s="244" t="s">
        <v>292</v>
      </c>
      <c r="C72" s="245"/>
      <c r="D72" s="245"/>
      <c r="E72" s="246"/>
      <c r="F72" s="399"/>
      <c r="G72" s="400"/>
      <c r="H72" s="400"/>
      <c r="I72" s="400"/>
      <c r="J72" s="400"/>
      <c r="K72" s="400"/>
      <c r="L72" s="400"/>
      <c r="M72" s="400"/>
      <c r="N72" s="400"/>
      <c r="O72" s="400"/>
      <c r="P72" s="400"/>
      <c r="Q72" s="401"/>
      <c r="R72" s="212" t="s">
        <v>929</v>
      </c>
      <c r="S72" s="213"/>
      <c r="T72" s="225">
        <f>IF(INDEX(Таблицы!AA20:AA242,Таблицы!Y29,1)="","",INDEX(Таблицы!AA20:AA242,Таблицы!Y29,1))</f>
      </c>
      <c r="U72" s="225"/>
      <c r="V72" s="218" t="s">
        <v>942</v>
      </c>
      <c r="W72" s="219"/>
      <c r="X72" s="219"/>
      <c r="Y72" s="219"/>
      <c r="Z72" s="222" t="s">
        <v>943</v>
      </c>
      <c r="AA72" s="55"/>
      <c r="AB72" s="55"/>
      <c r="AC72" s="50"/>
      <c r="AD72" s="244" t="s">
        <v>292</v>
      </c>
      <c r="AE72" s="245"/>
      <c r="AF72" s="245"/>
      <c r="AG72" s="246"/>
      <c r="AH72" s="399"/>
      <c r="AI72" s="400"/>
      <c r="AJ72" s="400"/>
      <c r="AK72" s="400"/>
      <c r="AL72" s="400"/>
      <c r="AM72" s="400"/>
      <c r="AN72" s="400"/>
      <c r="AO72" s="400"/>
      <c r="AP72" s="400"/>
      <c r="AQ72" s="400"/>
      <c r="AR72" s="400"/>
      <c r="AS72" s="401"/>
      <c r="AT72" s="212" t="s">
        <v>929</v>
      </c>
      <c r="AU72" s="213"/>
      <c r="AV72" s="225">
        <f>IF(INDEX(Таблицы!AA20:AA242,Таблицы!Y30,1)="","",INDEX(Таблицы!AA20:AA242,Таблицы!Y30,1))</f>
      </c>
      <c r="AW72" s="225"/>
      <c r="AX72" s="218" t="s">
        <v>942</v>
      </c>
      <c r="AY72" s="219"/>
      <c r="AZ72" s="219"/>
      <c r="BA72" s="219"/>
      <c r="BB72" s="222" t="s">
        <v>943</v>
      </c>
      <c r="BC72" s="55"/>
      <c r="BD72" s="13"/>
      <c r="BE72" s="294"/>
      <c r="BF72" s="295"/>
      <c r="BG72" s="295"/>
      <c r="BH72" s="296"/>
      <c r="BI72" s="284"/>
      <c r="BJ72" s="284"/>
      <c r="BK72" s="284"/>
      <c r="BL72" s="284"/>
      <c r="BM72" s="284"/>
      <c r="BN72" s="284"/>
      <c r="BO72" s="284"/>
      <c r="BP72" s="285"/>
      <c r="BQ72" s="29"/>
    </row>
    <row r="73" spans="1:69" ht="7.5" customHeight="1">
      <c r="A73" s="19"/>
      <c r="B73" s="244"/>
      <c r="C73" s="245"/>
      <c r="D73" s="245"/>
      <c r="E73" s="246"/>
      <c r="F73" s="396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3"/>
      <c r="R73" s="214"/>
      <c r="S73" s="215"/>
      <c r="T73" s="226"/>
      <c r="U73" s="226"/>
      <c r="V73" s="220"/>
      <c r="W73" s="221"/>
      <c r="X73" s="221"/>
      <c r="Y73" s="221"/>
      <c r="Z73" s="223"/>
      <c r="AA73" s="55"/>
      <c r="AB73" s="55"/>
      <c r="AC73" s="50"/>
      <c r="AD73" s="244"/>
      <c r="AE73" s="245"/>
      <c r="AF73" s="245"/>
      <c r="AG73" s="246"/>
      <c r="AH73" s="396"/>
      <c r="AI73" s="282"/>
      <c r="AJ73" s="282"/>
      <c r="AK73" s="282"/>
      <c r="AL73" s="282"/>
      <c r="AM73" s="282"/>
      <c r="AN73" s="282"/>
      <c r="AO73" s="282"/>
      <c r="AP73" s="282"/>
      <c r="AQ73" s="282"/>
      <c r="AR73" s="282"/>
      <c r="AS73" s="283"/>
      <c r="AT73" s="214"/>
      <c r="AU73" s="215"/>
      <c r="AV73" s="226"/>
      <c r="AW73" s="226"/>
      <c r="AX73" s="220"/>
      <c r="AY73" s="221"/>
      <c r="AZ73" s="221"/>
      <c r="BA73" s="221"/>
      <c r="BB73" s="223"/>
      <c r="BC73" s="55"/>
      <c r="BD73" s="13"/>
      <c r="BE73" s="286" t="s">
        <v>308</v>
      </c>
      <c r="BF73" s="286"/>
      <c r="BG73" s="287">
        <f>IF(INDEX(Таблицы!AA483:AA515,Таблицы!Y486,1)="","",INDEX(Таблицы!AA483:AA515,Таблицы!Y486,1))</f>
      </c>
      <c r="BH73" s="287"/>
      <c r="BI73" s="172" t="s">
        <v>309</v>
      </c>
      <c r="BJ73" s="172"/>
      <c r="BK73" s="228">
        <f>IF(INDEX(Таблицы!AB483:AB515,Таблицы!Y486,1)="","",INDEX(Таблицы!AB483:AB515,Таблицы!Y486,1))</f>
      </c>
      <c r="BL73" s="228"/>
      <c r="BM73" s="172" t="s">
        <v>310</v>
      </c>
      <c r="BN73" s="172"/>
      <c r="BO73" s="228">
        <f>IF(INDEX(Таблицы!AC483:AC515,Таблицы!Y486,1)="","",INDEX(Таблицы!AC483:AC515,Таблицы!Y486,1))</f>
      </c>
      <c r="BP73" s="228"/>
      <c r="BQ73" s="29"/>
    </row>
    <row r="74" spans="1:69" ht="7.5" customHeight="1">
      <c r="A74" s="19"/>
      <c r="B74" s="247"/>
      <c r="C74" s="248"/>
      <c r="D74" s="248"/>
      <c r="E74" s="249"/>
      <c r="F74" s="397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5"/>
      <c r="R74" s="216"/>
      <c r="S74" s="217"/>
      <c r="T74" s="226"/>
      <c r="U74" s="226"/>
      <c r="V74" s="50"/>
      <c r="W74" s="13"/>
      <c r="X74" s="13"/>
      <c r="Y74" s="13"/>
      <c r="Z74" s="13"/>
      <c r="AA74" s="55"/>
      <c r="AB74" s="55"/>
      <c r="AC74" s="50"/>
      <c r="AD74" s="247"/>
      <c r="AE74" s="248"/>
      <c r="AF74" s="248"/>
      <c r="AG74" s="249"/>
      <c r="AH74" s="397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5"/>
      <c r="AT74" s="216"/>
      <c r="AU74" s="217"/>
      <c r="AV74" s="226"/>
      <c r="AW74" s="226"/>
      <c r="AX74" s="50"/>
      <c r="AY74" s="13"/>
      <c r="AZ74" s="13"/>
      <c r="BA74" s="13"/>
      <c r="BB74" s="13"/>
      <c r="BC74" s="55"/>
      <c r="BD74" s="13"/>
      <c r="BE74" s="172"/>
      <c r="BF74" s="172"/>
      <c r="BG74" s="228"/>
      <c r="BH74" s="228"/>
      <c r="BI74" s="172"/>
      <c r="BJ74" s="172"/>
      <c r="BK74" s="228"/>
      <c r="BL74" s="228"/>
      <c r="BM74" s="172"/>
      <c r="BN74" s="172"/>
      <c r="BO74" s="228"/>
      <c r="BP74" s="228"/>
      <c r="BQ74" s="29"/>
    </row>
    <row r="75" spans="1:69" ht="7.5" customHeight="1">
      <c r="A75" s="19"/>
      <c r="B75" s="172" t="s">
        <v>278</v>
      </c>
      <c r="C75" s="170">
        <f>IF(INDEX(Таблицы!AB20:AB242,Таблицы!Y29,1)="","",INDEX(Таблицы!AB20:AB242,Таблицы!Y29,1))</f>
      </c>
      <c r="D75" s="171"/>
      <c r="E75" s="169"/>
      <c r="F75" s="172" t="s">
        <v>279</v>
      </c>
      <c r="G75" s="172"/>
      <c r="H75" s="163">
        <f>IF(INDEX(Таблицы!AC20:AC242,Таблицы!Y29,1)="","",INDEX(Таблицы!AC20:AC242,Таблицы!Y29,1))</f>
      </c>
      <c r="I75" s="164"/>
      <c r="J75" s="164"/>
      <c r="K75" s="164"/>
      <c r="L75" s="164"/>
      <c r="M75" s="164"/>
      <c r="N75" s="164"/>
      <c r="O75" s="165"/>
      <c r="P75" s="172" t="s">
        <v>280</v>
      </c>
      <c r="Q75" s="172"/>
      <c r="R75" s="354">
        <f>IF(INDEX(Таблицы!AD20:AD242,Таблицы!Y29,1)="","",INDEX(Таблицы!AD20:AD242,Таблицы!Y29,1))</f>
      </c>
      <c r="S75" s="355"/>
      <c r="T75" s="355"/>
      <c r="U75" s="356"/>
      <c r="V75" s="50"/>
      <c r="W75" s="13"/>
      <c r="X75" s="13"/>
      <c r="Y75" s="13"/>
      <c r="Z75" s="13"/>
      <c r="AA75" s="55"/>
      <c r="AB75" s="55"/>
      <c r="AC75" s="50"/>
      <c r="AD75" s="172" t="s">
        <v>278</v>
      </c>
      <c r="AE75" s="170">
        <f>IF(INDEX(Таблицы!AB20:AB242,Таблицы!Y30,1)="","",INDEX(Таблицы!AB20:AB242,Таблицы!Y30,1))</f>
      </c>
      <c r="AF75" s="171"/>
      <c r="AG75" s="169"/>
      <c r="AH75" s="172" t="s">
        <v>279</v>
      </c>
      <c r="AI75" s="172"/>
      <c r="AJ75" s="163">
        <f>IF(INDEX(Таблицы!AC20:AC242,Таблицы!Y30,1)="","",INDEX(Таблицы!AC20:AC242,Таблицы!Y30,1))</f>
      </c>
      <c r="AK75" s="164"/>
      <c r="AL75" s="164"/>
      <c r="AM75" s="164"/>
      <c r="AN75" s="164"/>
      <c r="AO75" s="164"/>
      <c r="AP75" s="164"/>
      <c r="AQ75" s="165"/>
      <c r="AR75" s="172" t="s">
        <v>280</v>
      </c>
      <c r="AS75" s="172"/>
      <c r="AT75" s="354">
        <f>IF(INDEX(Таблицы!AD20:AD242,Таблицы!Y30,1)="","",INDEX(Таблицы!AD20:AD242,Таблицы!Y30,1))</f>
      </c>
      <c r="AU75" s="355"/>
      <c r="AV75" s="355"/>
      <c r="AW75" s="356"/>
      <c r="AX75" s="50"/>
      <c r="AY75" s="13"/>
      <c r="AZ75" s="13"/>
      <c r="BA75" s="13"/>
      <c r="BB75" s="13"/>
      <c r="BC75" s="55"/>
      <c r="BD75" s="13"/>
      <c r="BE75" s="172" t="s">
        <v>311</v>
      </c>
      <c r="BF75" s="172"/>
      <c r="BG75" s="228">
        <f>IF(INDEX(Таблицы!AD483:AD515,Таблицы!Y486,1)="","",INDEX(Таблицы!AD483:AD515,Таблицы!Y486,1))</f>
      </c>
      <c r="BH75" s="228"/>
      <c r="BI75" s="172" t="s">
        <v>312</v>
      </c>
      <c r="BJ75" s="172"/>
      <c r="BK75" s="228">
        <f>IF(INDEX(Таблицы!AE483:AE515,Таблицы!Y486,1)="","",INDEX(Таблицы!AE483:AE515,Таблицы!Y486,1))</f>
      </c>
      <c r="BL75" s="228"/>
      <c r="BM75" s="172" t="s">
        <v>313</v>
      </c>
      <c r="BN75" s="172"/>
      <c r="BO75" s="228">
        <f>IF(INDEX(Таблицы!AF483:AF515,Таблицы!Y486,1)="","",INDEX(Таблицы!AF483:AF515,Таблицы!Y486,1))</f>
      </c>
      <c r="BP75" s="228"/>
      <c r="BQ75" s="29"/>
    </row>
    <row r="76" spans="1:69" ht="7.5" customHeight="1">
      <c r="A76" s="19"/>
      <c r="B76" s="172"/>
      <c r="C76" s="168"/>
      <c r="D76" s="166"/>
      <c r="E76" s="167"/>
      <c r="F76" s="172"/>
      <c r="G76" s="172"/>
      <c r="H76" s="162"/>
      <c r="I76" s="196"/>
      <c r="J76" s="196"/>
      <c r="K76" s="196"/>
      <c r="L76" s="196"/>
      <c r="M76" s="196"/>
      <c r="N76" s="196"/>
      <c r="O76" s="197"/>
      <c r="P76" s="172"/>
      <c r="Q76" s="172"/>
      <c r="R76" s="357"/>
      <c r="S76" s="358"/>
      <c r="T76" s="358"/>
      <c r="U76" s="359"/>
      <c r="V76" s="360" t="s">
        <v>100</v>
      </c>
      <c r="W76" s="361"/>
      <c r="X76" s="224">
        <v>1</v>
      </c>
      <c r="Y76" s="224"/>
      <c r="Z76" s="224">
        <v>2</v>
      </c>
      <c r="AA76" s="224"/>
      <c r="AB76" s="55"/>
      <c r="AC76" s="50"/>
      <c r="AD76" s="172"/>
      <c r="AE76" s="168"/>
      <c r="AF76" s="166"/>
      <c r="AG76" s="167"/>
      <c r="AH76" s="172"/>
      <c r="AI76" s="172"/>
      <c r="AJ76" s="162"/>
      <c r="AK76" s="196"/>
      <c r="AL76" s="196"/>
      <c r="AM76" s="196"/>
      <c r="AN76" s="196"/>
      <c r="AO76" s="196"/>
      <c r="AP76" s="196"/>
      <c r="AQ76" s="197"/>
      <c r="AR76" s="172"/>
      <c r="AS76" s="172"/>
      <c r="AT76" s="357"/>
      <c r="AU76" s="358"/>
      <c r="AV76" s="358"/>
      <c r="AW76" s="359"/>
      <c r="AX76" s="360" t="s">
        <v>100</v>
      </c>
      <c r="AY76" s="361"/>
      <c r="AZ76" s="224">
        <v>1</v>
      </c>
      <c r="BA76" s="224"/>
      <c r="BB76" s="224">
        <v>2</v>
      </c>
      <c r="BC76" s="224"/>
      <c r="BD76" s="13"/>
      <c r="BE76" s="172"/>
      <c r="BF76" s="172"/>
      <c r="BG76" s="228"/>
      <c r="BH76" s="228"/>
      <c r="BI76" s="172"/>
      <c r="BJ76" s="172"/>
      <c r="BK76" s="228"/>
      <c r="BL76" s="228"/>
      <c r="BM76" s="172"/>
      <c r="BN76" s="172"/>
      <c r="BO76" s="228"/>
      <c r="BP76" s="228"/>
      <c r="BQ76" s="29"/>
    </row>
    <row r="77" spans="1:69" ht="7.5" customHeight="1">
      <c r="A77" s="19"/>
      <c r="B77" s="172" t="s">
        <v>281</v>
      </c>
      <c r="C77" s="172"/>
      <c r="D77" s="172" t="s">
        <v>282</v>
      </c>
      <c r="E77" s="228">
        <f>IF(INDEX(Таблицы!AE20:AE242,Таблицы!Y29,1)="","",INDEX(Таблицы!AE20:AE242,Таблицы!Y29,1))</f>
      </c>
      <c r="F77" s="228"/>
      <c r="G77" s="172" t="s">
        <v>283</v>
      </c>
      <c r="H77" s="228">
        <f>IF(INDEX(Таблицы!AF20:AF242,Таблицы!Y29,1)="","",INDEX(Таблицы!AF20:AF242,Таблицы!Y29,1))</f>
      </c>
      <c r="I77" s="228"/>
      <c r="J77" s="172" t="s">
        <v>284</v>
      </c>
      <c r="K77" s="228">
        <f>IF(INDEX(Таблицы!AG20:AG242,Таблицы!Y29,1)="","",INDEX(Таблицы!AG20:AG242,Таблицы!Y29,1))</f>
      </c>
      <c r="L77" s="228"/>
      <c r="M77" s="172" t="s">
        <v>99</v>
      </c>
      <c r="N77" s="172"/>
      <c r="O77" s="172"/>
      <c r="P77" s="172"/>
      <c r="Q77" s="172"/>
      <c r="R77" s="172"/>
      <c r="S77" s="172"/>
      <c r="T77" s="228">
        <f>IF(INDEX(Таблицы!AH20:AH242,Таблицы!Y29,1)="","",INDEX(Таблицы!AH20:AH242,Таблицы!Y29,1))</f>
      </c>
      <c r="U77" s="228"/>
      <c r="V77" s="360"/>
      <c r="W77" s="361"/>
      <c r="X77" s="224"/>
      <c r="Y77" s="224"/>
      <c r="Z77" s="224"/>
      <c r="AA77" s="224"/>
      <c r="AB77" s="55"/>
      <c r="AC77" s="50"/>
      <c r="AD77" s="172" t="s">
        <v>281</v>
      </c>
      <c r="AE77" s="172"/>
      <c r="AF77" s="172" t="s">
        <v>282</v>
      </c>
      <c r="AG77" s="228">
        <f>IF(INDEX(Таблицы!AE20:AE242,Таблицы!Y30,1)="","",INDEX(Таблицы!AE20:AE242,Таблицы!Y30,1))</f>
      </c>
      <c r="AH77" s="228"/>
      <c r="AI77" s="172" t="s">
        <v>283</v>
      </c>
      <c r="AJ77" s="228">
        <f>IF(INDEX(Таблицы!AF20:AF242,Таблицы!Y30,1)="","",INDEX(Таблицы!AF20:AF242,Таблицы!Y30,1))</f>
      </c>
      <c r="AK77" s="228"/>
      <c r="AL77" s="172" t="s">
        <v>284</v>
      </c>
      <c r="AM77" s="228">
        <f>IF(INDEX(Таблицы!AG20:AG242,Таблицы!Y30,1)="","",INDEX(Таблицы!AG20:AG242,Таблицы!Y30,1))</f>
      </c>
      <c r="AN77" s="228"/>
      <c r="AO77" s="172" t="s">
        <v>99</v>
      </c>
      <c r="AP77" s="172"/>
      <c r="AQ77" s="172"/>
      <c r="AR77" s="172"/>
      <c r="AS77" s="172"/>
      <c r="AT77" s="172"/>
      <c r="AU77" s="172"/>
      <c r="AV77" s="228">
        <f>IF(INDEX(Таблицы!AH20:AH242,Таблицы!Y30,1)="","",INDEX(Таблицы!AH20:AH242,Таблицы!Y30,1))</f>
      </c>
      <c r="AW77" s="228"/>
      <c r="AX77" s="360"/>
      <c r="AY77" s="361"/>
      <c r="AZ77" s="224"/>
      <c r="BA77" s="224"/>
      <c r="BB77" s="224"/>
      <c r="BC77" s="224"/>
      <c r="BD77" s="13"/>
      <c r="BE77" s="172" t="s">
        <v>314</v>
      </c>
      <c r="BF77" s="172"/>
      <c r="BG77" s="354">
        <f>IF(INDEX(Таблицы!AG483:AG515,Таблицы!Y486,1)="","",INDEX(Таблицы!AG483:AG515,Таблицы!Y486,1))</f>
      </c>
      <c r="BH77" s="355"/>
      <c r="BI77" s="355"/>
      <c r="BJ77" s="356"/>
      <c r="BK77" s="327" t="s">
        <v>323</v>
      </c>
      <c r="BL77" s="328"/>
      <c r="BM77" s="342"/>
      <c r="BN77" s="343"/>
      <c r="BO77" s="338">
        <f>IF(INDEX(Таблицы!AS483:AS515,Таблицы!Y486,1)="","",INDEX(Таблицы!AS483:AS515,Таблицы!Y486,1))</f>
      </c>
      <c r="BP77" s="339"/>
      <c r="BQ77" s="29"/>
    </row>
    <row r="78" spans="1:69" ht="7.5" customHeight="1">
      <c r="A78" s="19"/>
      <c r="B78" s="172"/>
      <c r="C78" s="172"/>
      <c r="D78" s="172"/>
      <c r="E78" s="228"/>
      <c r="F78" s="228"/>
      <c r="G78" s="172"/>
      <c r="H78" s="228"/>
      <c r="I78" s="228"/>
      <c r="J78" s="172"/>
      <c r="K78" s="228"/>
      <c r="L78" s="228"/>
      <c r="M78" s="172"/>
      <c r="N78" s="172"/>
      <c r="O78" s="172"/>
      <c r="P78" s="172"/>
      <c r="Q78" s="172"/>
      <c r="R78" s="172"/>
      <c r="S78" s="172"/>
      <c r="T78" s="228"/>
      <c r="U78" s="228"/>
      <c r="V78" s="360"/>
      <c r="W78" s="361"/>
      <c r="X78" s="224">
        <v>3</v>
      </c>
      <c r="Y78" s="224"/>
      <c r="Z78" s="224">
        <v>4</v>
      </c>
      <c r="AA78" s="224"/>
      <c r="AB78" s="55"/>
      <c r="AC78" s="50"/>
      <c r="AD78" s="172"/>
      <c r="AE78" s="172"/>
      <c r="AF78" s="172"/>
      <c r="AG78" s="228"/>
      <c r="AH78" s="228"/>
      <c r="AI78" s="172"/>
      <c r="AJ78" s="228"/>
      <c r="AK78" s="228"/>
      <c r="AL78" s="172"/>
      <c r="AM78" s="228"/>
      <c r="AN78" s="228"/>
      <c r="AO78" s="172"/>
      <c r="AP78" s="172"/>
      <c r="AQ78" s="172"/>
      <c r="AR78" s="172"/>
      <c r="AS78" s="172"/>
      <c r="AT78" s="172"/>
      <c r="AU78" s="172"/>
      <c r="AV78" s="228"/>
      <c r="AW78" s="228"/>
      <c r="AX78" s="360"/>
      <c r="AY78" s="361"/>
      <c r="AZ78" s="224">
        <v>3</v>
      </c>
      <c r="BA78" s="224"/>
      <c r="BB78" s="224">
        <v>4</v>
      </c>
      <c r="BC78" s="224"/>
      <c r="BD78" s="13"/>
      <c r="BE78" s="172"/>
      <c r="BF78" s="172"/>
      <c r="BG78" s="357"/>
      <c r="BH78" s="358"/>
      <c r="BI78" s="358"/>
      <c r="BJ78" s="359"/>
      <c r="BK78" s="329"/>
      <c r="BL78" s="330"/>
      <c r="BM78" s="344"/>
      <c r="BN78" s="345"/>
      <c r="BO78" s="340"/>
      <c r="BP78" s="341"/>
      <c r="BQ78" s="29"/>
    </row>
    <row r="79" spans="1:69" ht="7.5" customHeight="1">
      <c r="A79" s="19"/>
      <c r="B79" s="241" t="s">
        <v>930</v>
      </c>
      <c r="C79" s="242"/>
      <c r="D79" s="243"/>
      <c r="E79" s="242"/>
      <c r="F79" s="242"/>
      <c r="G79" s="242"/>
      <c r="H79" s="242"/>
      <c r="I79" s="242"/>
      <c r="J79" s="242"/>
      <c r="K79" s="242"/>
      <c r="L79" s="242"/>
      <c r="M79" s="243"/>
      <c r="N79" s="250" t="s">
        <v>298</v>
      </c>
      <c r="O79" s="251"/>
      <c r="P79" s="225">
        <f>IF(INDEX(Таблицы!AB245:AB323,Таблицы!Y253,1)="","",INDEX(Таблицы!AB245:AB323,Таблицы!Y253,1))</f>
      </c>
      <c r="Q79" s="225"/>
      <c r="R79" s="250" t="s">
        <v>831</v>
      </c>
      <c r="S79" s="251"/>
      <c r="T79" s="225">
        <f>IF(INDEX(Таблицы!AC245:AC323,Таблицы!Y253,1)="","",INDEX(Таблицы!AC245:AC323,Таблицы!Y253,1))</f>
      </c>
      <c r="U79" s="225"/>
      <c r="V79" s="360"/>
      <c r="W79" s="361"/>
      <c r="X79" s="224"/>
      <c r="Y79" s="224"/>
      <c r="Z79" s="224"/>
      <c r="AA79" s="224"/>
      <c r="AB79" s="55"/>
      <c r="AC79" s="50"/>
      <c r="AD79" s="241" t="s">
        <v>930</v>
      </c>
      <c r="AE79" s="242"/>
      <c r="AF79" s="243"/>
      <c r="AG79" s="242"/>
      <c r="AH79" s="242"/>
      <c r="AI79" s="242"/>
      <c r="AJ79" s="242"/>
      <c r="AK79" s="242"/>
      <c r="AL79" s="242"/>
      <c r="AM79" s="242"/>
      <c r="AN79" s="242"/>
      <c r="AO79" s="243"/>
      <c r="AP79" s="250" t="s">
        <v>298</v>
      </c>
      <c r="AQ79" s="251"/>
      <c r="AR79" s="225">
        <f>IF(INDEX(Таблицы!AB245:AB323,Таблицы!Y254,1)="","",INDEX(Таблицы!AB245:AB323,Таблицы!Y254,1))</f>
      </c>
      <c r="AS79" s="225"/>
      <c r="AT79" s="250" t="s">
        <v>831</v>
      </c>
      <c r="AU79" s="251"/>
      <c r="AV79" s="225">
        <f>IF(INDEX(Таблицы!AC245:AC323,Таблицы!Y254,1)="","",INDEX(Таблицы!AC245:AC323,Таблицы!Y254,1))</f>
      </c>
      <c r="AW79" s="225"/>
      <c r="AX79" s="360"/>
      <c r="AY79" s="361"/>
      <c r="AZ79" s="224"/>
      <c r="BA79" s="224"/>
      <c r="BB79" s="224"/>
      <c r="BC79" s="224"/>
      <c r="BD79" s="13"/>
      <c r="BE79" s="297" t="s">
        <v>223</v>
      </c>
      <c r="BF79" s="297"/>
      <c r="BG79" s="297"/>
      <c r="BH79" s="172" t="s">
        <v>282</v>
      </c>
      <c r="BI79" s="228">
        <f>IF(INDEX(Таблицы!AN483:AN515,Таблицы!Y486,1)="","",INDEX(Таблицы!AN483:AN515,Таблицы!Y486,1))</f>
      </c>
      <c r="BJ79" s="228"/>
      <c r="BK79" s="172" t="s">
        <v>322</v>
      </c>
      <c r="BL79" s="228">
        <f>IF(INDEX(Таблицы!AO483:AO515,Таблицы!Y486,1)="","",INDEX(Таблицы!AO483:AO515,Таблицы!Y486,1))</f>
      </c>
      <c r="BM79" s="228"/>
      <c r="BN79" s="172" t="s">
        <v>284</v>
      </c>
      <c r="BO79" s="228">
        <f>IF(INDEX(Таблицы!AP483:AP515,Таблицы!Y486,1)="","",INDEX(Таблицы!AP483:AP515,Таблицы!Y486,1))</f>
      </c>
      <c r="BP79" s="228"/>
      <c r="BQ79" s="29"/>
    </row>
    <row r="80" spans="1:69" ht="7.5" customHeight="1">
      <c r="A80" s="19"/>
      <c r="B80" s="244"/>
      <c r="C80" s="245"/>
      <c r="D80" s="246"/>
      <c r="E80" s="245"/>
      <c r="F80" s="245"/>
      <c r="G80" s="245"/>
      <c r="H80" s="245"/>
      <c r="I80" s="245"/>
      <c r="J80" s="245"/>
      <c r="K80" s="245"/>
      <c r="L80" s="245"/>
      <c r="M80" s="246"/>
      <c r="N80" s="214"/>
      <c r="O80" s="252"/>
      <c r="P80" s="226"/>
      <c r="Q80" s="226"/>
      <c r="R80" s="214"/>
      <c r="S80" s="252"/>
      <c r="T80" s="226"/>
      <c r="U80" s="226"/>
      <c r="V80" s="360"/>
      <c r="W80" s="361"/>
      <c r="X80" s="224">
        <v>5</v>
      </c>
      <c r="Y80" s="224"/>
      <c r="Z80" s="224">
        <v>6</v>
      </c>
      <c r="AA80" s="224"/>
      <c r="AB80" s="55"/>
      <c r="AC80" s="50"/>
      <c r="AD80" s="244"/>
      <c r="AE80" s="245"/>
      <c r="AF80" s="246"/>
      <c r="AG80" s="245"/>
      <c r="AH80" s="245"/>
      <c r="AI80" s="245"/>
      <c r="AJ80" s="245"/>
      <c r="AK80" s="245"/>
      <c r="AL80" s="245"/>
      <c r="AM80" s="245"/>
      <c r="AN80" s="245"/>
      <c r="AO80" s="246"/>
      <c r="AP80" s="214"/>
      <c r="AQ80" s="252"/>
      <c r="AR80" s="226"/>
      <c r="AS80" s="226"/>
      <c r="AT80" s="214"/>
      <c r="AU80" s="252"/>
      <c r="AV80" s="226"/>
      <c r="AW80" s="226"/>
      <c r="AX80" s="360"/>
      <c r="AY80" s="361"/>
      <c r="AZ80" s="224">
        <v>5</v>
      </c>
      <c r="BA80" s="224"/>
      <c r="BB80" s="224">
        <v>6</v>
      </c>
      <c r="BC80" s="224"/>
      <c r="BD80" s="13"/>
      <c r="BE80" s="297"/>
      <c r="BF80" s="297"/>
      <c r="BG80" s="297"/>
      <c r="BH80" s="172"/>
      <c r="BI80" s="228"/>
      <c r="BJ80" s="228"/>
      <c r="BK80" s="172"/>
      <c r="BL80" s="228"/>
      <c r="BM80" s="228"/>
      <c r="BN80" s="172"/>
      <c r="BO80" s="228"/>
      <c r="BP80" s="228"/>
      <c r="BQ80" s="29"/>
    </row>
    <row r="81" spans="1:69" ht="7.5" customHeight="1">
      <c r="A81" s="19"/>
      <c r="B81" s="247"/>
      <c r="C81" s="248"/>
      <c r="D81" s="249"/>
      <c r="E81" s="248"/>
      <c r="F81" s="248"/>
      <c r="G81" s="248"/>
      <c r="H81" s="248"/>
      <c r="I81" s="248"/>
      <c r="J81" s="248"/>
      <c r="K81" s="248"/>
      <c r="L81" s="248"/>
      <c r="M81" s="249"/>
      <c r="N81" s="216"/>
      <c r="O81" s="253"/>
      <c r="P81" s="226"/>
      <c r="Q81" s="226"/>
      <c r="R81" s="216"/>
      <c r="S81" s="253"/>
      <c r="T81" s="226"/>
      <c r="U81" s="226"/>
      <c r="V81" s="360"/>
      <c r="W81" s="361"/>
      <c r="X81" s="224"/>
      <c r="Y81" s="224"/>
      <c r="Z81" s="224"/>
      <c r="AA81" s="224"/>
      <c r="AB81" s="55"/>
      <c r="AC81" s="50"/>
      <c r="AD81" s="247"/>
      <c r="AE81" s="248"/>
      <c r="AF81" s="249"/>
      <c r="AG81" s="248"/>
      <c r="AH81" s="248"/>
      <c r="AI81" s="248"/>
      <c r="AJ81" s="248"/>
      <c r="AK81" s="248"/>
      <c r="AL81" s="248"/>
      <c r="AM81" s="248"/>
      <c r="AN81" s="248"/>
      <c r="AO81" s="249"/>
      <c r="AP81" s="216"/>
      <c r="AQ81" s="253"/>
      <c r="AR81" s="226"/>
      <c r="AS81" s="226"/>
      <c r="AT81" s="216"/>
      <c r="AU81" s="253"/>
      <c r="AV81" s="226"/>
      <c r="AW81" s="226"/>
      <c r="AX81" s="360"/>
      <c r="AY81" s="361"/>
      <c r="AZ81" s="224"/>
      <c r="BA81" s="224"/>
      <c r="BB81" s="224"/>
      <c r="BC81" s="224"/>
      <c r="BD81" s="13"/>
      <c r="BE81" s="297"/>
      <c r="BF81" s="297"/>
      <c r="BG81" s="297"/>
      <c r="BH81" s="172" t="s">
        <v>283</v>
      </c>
      <c r="BI81" s="228">
        <f>IF(INDEX(Таблицы!AQ483:AQ515,Таблицы!Y486,1)="","",INDEX(Таблицы!AQ483:AQ515,Таблицы!Y486,1))</f>
      </c>
      <c r="BJ81" s="228"/>
      <c r="BK81" s="172" t="s">
        <v>278</v>
      </c>
      <c r="BL81" s="255">
        <f>IF(INDEX(Таблицы!AR483:AR515,Таблицы!Y486,1)="","",INDEX(Таблицы!AR483:AR515,Таблицы!Y486,1))</f>
      </c>
      <c r="BM81" s="256"/>
      <c r="BN81" s="256"/>
      <c r="BO81" s="256"/>
      <c r="BP81" s="257"/>
      <c r="BQ81" s="29"/>
    </row>
    <row r="82" spans="1:69" ht="7.5" customHeight="1">
      <c r="A82" s="19"/>
      <c r="B82" s="172" t="s">
        <v>279</v>
      </c>
      <c r="C82" s="172"/>
      <c r="D82" s="229">
        <f>IF(INDEX(Таблицы!AE245:AE323,Таблицы!Y253,1)="","",INDEX(Таблицы!AE245:AE323,Таблицы!Y253,1))</f>
      </c>
      <c r="E82" s="230"/>
      <c r="F82" s="230"/>
      <c r="G82" s="230"/>
      <c r="H82" s="231"/>
      <c r="I82" s="235" t="s">
        <v>832</v>
      </c>
      <c r="J82" s="236"/>
      <c r="K82" s="237"/>
      <c r="L82" s="229">
        <f>IF(INDEX(Таблицы!AF245:AF323,Таблицы!Y253,1)="","",INDEX(Таблицы!AF245:AF323,Таблицы!Y253,1))</f>
      </c>
      <c r="M82" s="230"/>
      <c r="N82" s="230"/>
      <c r="O82" s="230"/>
      <c r="P82" s="230"/>
      <c r="Q82" s="230"/>
      <c r="R82" s="230"/>
      <c r="S82" s="230"/>
      <c r="T82" s="230"/>
      <c r="U82" s="231"/>
      <c r="V82" s="360"/>
      <c r="W82" s="361"/>
      <c r="X82" s="224">
        <v>7</v>
      </c>
      <c r="Y82" s="224"/>
      <c r="Z82" s="224">
        <v>8</v>
      </c>
      <c r="AA82" s="224"/>
      <c r="AB82" s="55"/>
      <c r="AC82" s="50"/>
      <c r="AD82" s="172" t="s">
        <v>279</v>
      </c>
      <c r="AE82" s="172"/>
      <c r="AF82" s="229">
        <f>IF(INDEX(Таблицы!AE245:AE323,Таблицы!Y254,1)="","",INDEX(Таблицы!AE245:AE323,Таблицы!Y254,1))</f>
      </c>
      <c r="AG82" s="230"/>
      <c r="AH82" s="230"/>
      <c r="AI82" s="230"/>
      <c r="AJ82" s="231"/>
      <c r="AK82" s="235" t="s">
        <v>832</v>
      </c>
      <c r="AL82" s="236"/>
      <c r="AM82" s="237"/>
      <c r="AN82" s="229">
        <f>IF(INDEX(Таблицы!AF245:AF323,Таблицы!Y254,1)="","",INDEX(Таблицы!AF245:AF323,Таблицы!Y254,1))</f>
      </c>
      <c r="AO82" s="230"/>
      <c r="AP82" s="230"/>
      <c r="AQ82" s="230"/>
      <c r="AR82" s="230"/>
      <c r="AS82" s="230"/>
      <c r="AT82" s="230"/>
      <c r="AU82" s="230"/>
      <c r="AV82" s="230"/>
      <c r="AW82" s="231"/>
      <c r="AX82" s="360"/>
      <c r="AY82" s="361"/>
      <c r="AZ82" s="224">
        <v>7</v>
      </c>
      <c r="BA82" s="224"/>
      <c r="BB82" s="224">
        <v>8</v>
      </c>
      <c r="BC82" s="224"/>
      <c r="BD82" s="13"/>
      <c r="BE82" s="297"/>
      <c r="BF82" s="297"/>
      <c r="BG82" s="297"/>
      <c r="BH82" s="172"/>
      <c r="BI82" s="228"/>
      <c r="BJ82" s="228"/>
      <c r="BK82" s="172"/>
      <c r="BL82" s="258"/>
      <c r="BM82" s="259"/>
      <c r="BN82" s="259"/>
      <c r="BO82" s="259"/>
      <c r="BP82" s="260"/>
      <c r="BQ82" s="29"/>
    </row>
    <row r="83" spans="1:69" ht="7.5" customHeight="1">
      <c r="A83" s="19"/>
      <c r="B83" s="172"/>
      <c r="C83" s="172"/>
      <c r="D83" s="232"/>
      <c r="E83" s="233"/>
      <c r="F83" s="233"/>
      <c r="G83" s="233"/>
      <c r="H83" s="234"/>
      <c r="I83" s="238"/>
      <c r="J83" s="239"/>
      <c r="K83" s="240"/>
      <c r="L83" s="232"/>
      <c r="M83" s="233"/>
      <c r="N83" s="233"/>
      <c r="O83" s="233"/>
      <c r="P83" s="233"/>
      <c r="Q83" s="233"/>
      <c r="R83" s="233"/>
      <c r="S83" s="233"/>
      <c r="T83" s="233"/>
      <c r="U83" s="234"/>
      <c r="V83" s="360"/>
      <c r="W83" s="361"/>
      <c r="X83" s="224"/>
      <c r="Y83" s="224"/>
      <c r="Z83" s="224"/>
      <c r="AA83" s="224"/>
      <c r="AB83" s="55"/>
      <c r="AC83" s="50"/>
      <c r="AD83" s="172"/>
      <c r="AE83" s="172"/>
      <c r="AF83" s="232"/>
      <c r="AG83" s="233"/>
      <c r="AH83" s="233"/>
      <c r="AI83" s="233"/>
      <c r="AJ83" s="234"/>
      <c r="AK83" s="238"/>
      <c r="AL83" s="239"/>
      <c r="AM83" s="240"/>
      <c r="AN83" s="232"/>
      <c r="AO83" s="233"/>
      <c r="AP83" s="233"/>
      <c r="AQ83" s="233"/>
      <c r="AR83" s="233"/>
      <c r="AS83" s="233"/>
      <c r="AT83" s="233"/>
      <c r="AU83" s="233"/>
      <c r="AV83" s="233"/>
      <c r="AW83" s="234"/>
      <c r="AX83" s="360"/>
      <c r="AY83" s="361"/>
      <c r="AZ83" s="224"/>
      <c r="BA83" s="224"/>
      <c r="BB83" s="224"/>
      <c r="BC83" s="224"/>
      <c r="BD83" s="13"/>
      <c r="BE83" s="297" t="s">
        <v>320</v>
      </c>
      <c r="BF83" s="297"/>
      <c r="BG83" s="297"/>
      <c r="BH83" s="172" t="s">
        <v>315</v>
      </c>
      <c r="BI83" s="228">
        <f>IF(INDEX(Таблицы!AH483:AH515,Таблицы!Y486,1)="","",INDEX(Таблицы!AH483:AH515,Таблицы!Y486,1))</f>
      </c>
      <c r="BJ83" s="228"/>
      <c r="BK83" s="172" t="s">
        <v>316</v>
      </c>
      <c r="BL83" s="228">
        <f>IF(INDEX(Таблицы!AI483:AI515,Таблицы!Y486,1)="","",INDEX(Таблицы!AI483:AI515,Таблицы!Y486,1))</f>
      </c>
      <c r="BM83" s="228"/>
      <c r="BN83" s="172" t="s">
        <v>317</v>
      </c>
      <c r="BO83" s="228">
        <f>IF(INDEX(Таблицы!AJ483:AJ515,Таблицы!Y486,1)="","",INDEX(Таблицы!AJ483:AJ515,Таблицы!Y486,1))</f>
      </c>
      <c r="BP83" s="228"/>
      <c r="BQ83" s="29"/>
    </row>
    <row r="84" spans="1:69" ht="7.5" customHeight="1">
      <c r="A84" s="19"/>
      <c r="B84" s="398" t="s">
        <v>288</v>
      </c>
      <c r="C84" s="398"/>
      <c r="D84" s="398"/>
      <c r="E84" s="398"/>
      <c r="F84" s="398"/>
      <c r="G84" s="398"/>
      <c r="H84" s="398"/>
      <c r="I84" s="398"/>
      <c r="J84" s="227"/>
      <c r="K84" s="227"/>
      <c r="L84" s="172" t="s">
        <v>286</v>
      </c>
      <c r="M84" s="172"/>
      <c r="N84" s="172"/>
      <c r="O84" s="228">
        <f>IF(INDEX(Таблицы!AI20:AI242,Таблицы!Y29,1)="","",INDEX(Таблицы!AI20:AI242,Таблицы!Y29,1))</f>
      </c>
      <c r="P84" s="228"/>
      <c r="Q84" s="172" t="s">
        <v>287</v>
      </c>
      <c r="R84" s="172"/>
      <c r="S84" s="172"/>
      <c r="T84" s="227"/>
      <c r="U84" s="227"/>
      <c r="V84" s="360"/>
      <c r="W84" s="361"/>
      <c r="X84" s="224">
        <v>9</v>
      </c>
      <c r="Y84" s="224"/>
      <c r="Z84" s="224">
        <v>10</v>
      </c>
      <c r="AA84" s="224"/>
      <c r="AB84" s="55"/>
      <c r="AC84" s="50"/>
      <c r="AD84" s="398" t="s">
        <v>288</v>
      </c>
      <c r="AE84" s="398"/>
      <c r="AF84" s="398"/>
      <c r="AG84" s="398"/>
      <c r="AH84" s="398"/>
      <c r="AI84" s="398"/>
      <c r="AJ84" s="398"/>
      <c r="AK84" s="398"/>
      <c r="AL84" s="227"/>
      <c r="AM84" s="227"/>
      <c r="AN84" s="172" t="s">
        <v>286</v>
      </c>
      <c r="AO84" s="172"/>
      <c r="AP84" s="172"/>
      <c r="AQ84" s="228">
        <f>IF(INDEX(Таблицы!AI20:AI242,Таблицы!Y30,1)="","",INDEX(Таблицы!AI20:AI242,Таблицы!Y30,1))</f>
      </c>
      <c r="AR84" s="228"/>
      <c r="AS84" s="172" t="s">
        <v>287</v>
      </c>
      <c r="AT84" s="172"/>
      <c r="AU84" s="172"/>
      <c r="AV84" s="227"/>
      <c r="AW84" s="227"/>
      <c r="AX84" s="360"/>
      <c r="AY84" s="361"/>
      <c r="AZ84" s="224">
        <v>9</v>
      </c>
      <c r="BA84" s="224"/>
      <c r="BB84" s="224">
        <v>10</v>
      </c>
      <c r="BC84" s="224"/>
      <c r="BD84" s="13"/>
      <c r="BE84" s="297"/>
      <c r="BF84" s="297"/>
      <c r="BG84" s="297"/>
      <c r="BH84" s="172"/>
      <c r="BI84" s="228"/>
      <c r="BJ84" s="228"/>
      <c r="BK84" s="172"/>
      <c r="BL84" s="228"/>
      <c r="BM84" s="228"/>
      <c r="BN84" s="172"/>
      <c r="BO84" s="228"/>
      <c r="BP84" s="228"/>
      <c r="BQ84" s="29"/>
    </row>
    <row r="85" spans="1:69" ht="7.5" customHeight="1">
      <c r="A85" s="19"/>
      <c r="B85" s="398"/>
      <c r="C85" s="398"/>
      <c r="D85" s="398"/>
      <c r="E85" s="398"/>
      <c r="F85" s="398"/>
      <c r="G85" s="398"/>
      <c r="H85" s="398"/>
      <c r="I85" s="398"/>
      <c r="J85" s="227"/>
      <c r="K85" s="227"/>
      <c r="L85" s="172"/>
      <c r="M85" s="172"/>
      <c r="N85" s="172"/>
      <c r="O85" s="228"/>
      <c r="P85" s="228"/>
      <c r="Q85" s="172"/>
      <c r="R85" s="172"/>
      <c r="S85" s="172"/>
      <c r="T85" s="227"/>
      <c r="U85" s="227"/>
      <c r="V85" s="362"/>
      <c r="W85" s="363"/>
      <c r="X85" s="224"/>
      <c r="Y85" s="224"/>
      <c r="Z85" s="224"/>
      <c r="AA85" s="224"/>
      <c r="AB85" s="55"/>
      <c r="AC85" s="50"/>
      <c r="AD85" s="398"/>
      <c r="AE85" s="398"/>
      <c r="AF85" s="398"/>
      <c r="AG85" s="398"/>
      <c r="AH85" s="398"/>
      <c r="AI85" s="398"/>
      <c r="AJ85" s="398"/>
      <c r="AK85" s="398"/>
      <c r="AL85" s="227"/>
      <c r="AM85" s="227"/>
      <c r="AN85" s="172"/>
      <c r="AO85" s="172"/>
      <c r="AP85" s="172"/>
      <c r="AQ85" s="228"/>
      <c r="AR85" s="228"/>
      <c r="AS85" s="172"/>
      <c r="AT85" s="172"/>
      <c r="AU85" s="172"/>
      <c r="AV85" s="227"/>
      <c r="AW85" s="227"/>
      <c r="AX85" s="362"/>
      <c r="AY85" s="363"/>
      <c r="AZ85" s="224"/>
      <c r="BA85" s="224"/>
      <c r="BB85" s="224"/>
      <c r="BC85" s="224"/>
      <c r="BD85" s="13"/>
      <c r="BE85" s="297"/>
      <c r="BF85" s="297"/>
      <c r="BG85" s="297"/>
      <c r="BH85" s="172" t="s">
        <v>318</v>
      </c>
      <c r="BI85" s="228">
        <f>IF(INDEX(Таблицы!AK483:AK515,Таблицы!Y486,1)="","",INDEX(Таблицы!AK483:AK515,Таблицы!Y486,1))</f>
      </c>
      <c r="BJ85" s="228"/>
      <c r="BK85" s="172" t="s">
        <v>319</v>
      </c>
      <c r="BL85" s="172"/>
      <c r="BM85" s="204">
        <f>IF(INDEX(Таблицы!AL483:AL515,Таблицы!Y486,1)="","",INDEX(Таблицы!AL483:AL515,Таблицы!Y486,1))</f>
      </c>
      <c r="BN85" s="206"/>
      <c r="BO85" s="204" t="s">
        <v>875</v>
      </c>
      <c r="BP85" s="206">
        <f>IF(INDEX(Таблицы!AM483:AM515,Таблицы!Y486,1)="","",INDEX(Таблицы!AM483:AM515,Таблицы!Y486,1))</f>
      </c>
      <c r="BQ85" s="29"/>
    </row>
    <row r="86" spans="1:69" ht="7.5" customHeight="1">
      <c r="A86" s="65"/>
      <c r="B86" s="71"/>
      <c r="C86" s="71"/>
      <c r="D86" s="71"/>
      <c r="E86" s="71"/>
      <c r="F86" s="71"/>
      <c r="G86" s="71"/>
      <c r="H86" s="71"/>
      <c r="I86" s="71"/>
      <c r="J86" s="63"/>
      <c r="K86" s="63"/>
      <c r="L86" s="64"/>
      <c r="M86" s="64"/>
      <c r="N86" s="64"/>
      <c r="O86" s="63"/>
      <c r="P86" s="63"/>
      <c r="Q86" s="64"/>
      <c r="R86" s="64"/>
      <c r="S86" s="64"/>
      <c r="T86" s="63"/>
      <c r="U86" s="63"/>
      <c r="V86" s="46"/>
      <c r="W86" s="46"/>
      <c r="X86" s="71"/>
      <c r="Y86" s="71"/>
      <c r="Z86" s="71"/>
      <c r="AA86" s="71"/>
      <c r="AB86" s="73"/>
      <c r="AC86" s="75"/>
      <c r="AD86" s="71"/>
      <c r="AE86" s="71"/>
      <c r="AF86" s="63"/>
      <c r="AG86" s="63"/>
      <c r="AH86" s="64"/>
      <c r="AI86" s="64"/>
      <c r="AJ86" s="64"/>
      <c r="AK86" s="63"/>
      <c r="AL86" s="63"/>
      <c r="AM86" s="64"/>
      <c r="AN86" s="64"/>
      <c r="AO86" s="64"/>
      <c r="AP86" s="63"/>
      <c r="AQ86" s="63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297"/>
      <c r="BF86" s="297"/>
      <c r="BG86" s="297"/>
      <c r="BH86" s="172"/>
      <c r="BI86" s="228"/>
      <c r="BJ86" s="228"/>
      <c r="BK86" s="172"/>
      <c r="BL86" s="172"/>
      <c r="BM86" s="205"/>
      <c r="BN86" s="207"/>
      <c r="BO86" s="205"/>
      <c r="BP86" s="207"/>
      <c r="BQ86" s="29"/>
    </row>
    <row r="87" spans="1:69" ht="7.5" customHeight="1" thickBot="1">
      <c r="A87" s="19"/>
      <c r="B87" s="52"/>
      <c r="C87" s="52"/>
      <c r="D87" s="52"/>
      <c r="E87" s="52"/>
      <c r="F87" s="52"/>
      <c r="G87" s="52"/>
      <c r="H87" s="52"/>
      <c r="I87" s="52"/>
      <c r="J87" s="4"/>
      <c r="K87" s="4"/>
      <c r="L87" s="48"/>
      <c r="M87" s="48"/>
      <c r="N87" s="48"/>
      <c r="O87" s="4"/>
      <c r="P87" s="4"/>
      <c r="Q87" s="48"/>
      <c r="R87" s="48"/>
      <c r="S87" s="48"/>
      <c r="T87" s="4"/>
      <c r="U87" s="4"/>
      <c r="V87" s="13"/>
      <c r="W87" s="13"/>
      <c r="X87" s="52"/>
      <c r="Y87" s="52"/>
      <c r="Z87" s="52"/>
      <c r="AA87" s="52"/>
      <c r="AB87" s="52"/>
      <c r="AC87" s="52"/>
      <c r="AD87" s="52"/>
      <c r="AE87" s="52"/>
      <c r="AF87" s="4"/>
      <c r="AG87" s="4"/>
      <c r="AH87" s="48"/>
      <c r="AI87" s="48"/>
      <c r="AJ87" s="48"/>
      <c r="AK87" s="4"/>
      <c r="AL87" s="4"/>
      <c r="AM87" s="48"/>
      <c r="AN87" s="48"/>
      <c r="AO87" s="48"/>
      <c r="AP87" s="4"/>
      <c r="AQ87" s="4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297" t="s">
        <v>876</v>
      </c>
      <c r="BF87" s="297"/>
      <c r="BG87" s="297"/>
      <c r="BH87" s="172" t="s">
        <v>315</v>
      </c>
      <c r="BI87" s="227"/>
      <c r="BJ87" s="227"/>
      <c r="BK87" s="172" t="s">
        <v>316</v>
      </c>
      <c r="BL87" s="227"/>
      <c r="BM87" s="227"/>
      <c r="BN87" s="172" t="s">
        <v>317</v>
      </c>
      <c r="BO87" s="254"/>
      <c r="BP87" s="254"/>
      <c r="BQ87" s="29"/>
    </row>
    <row r="88" spans="1:69" ht="7.5" customHeight="1">
      <c r="A88" s="19"/>
      <c r="B88" s="370" t="s">
        <v>101</v>
      </c>
      <c r="C88" s="371"/>
      <c r="D88" s="371"/>
      <c r="E88" s="371"/>
      <c r="F88" s="371"/>
      <c r="G88" s="371"/>
      <c r="H88" s="371"/>
      <c r="I88" s="371"/>
      <c r="J88" s="371"/>
      <c r="K88" s="371"/>
      <c r="L88" s="371"/>
      <c r="M88" s="371"/>
      <c r="N88" s="371"/>
      <c r="O88" s="371"/>
      <c r="P88" s="371"/>
      <c r="Q88" s="371"/>
      <c r="R88" s="371"/>
      <c r="S88" s="371"/>
      <c r="T88" s="371"/>
      <c r="U88" s="371"/>
      <c r="V88" s="371"/>
      <c r="W88" s="371"/>
      <c r="X88" s="371"/>
      <c r="Y88" s="371"/>
      <c r="Z88" s="371"/>
      <c r="AA88" s="371"/>
      <c r="AB88" s="371"/>
      <c r="AC88" s="371"/>
      <c r="AD88" s="371"/>
      <c r="AE88" s="371"/>
      <c r="AF88" s="371"/>
      <c r="AG88" s="371"/>
      <c r="AH88" s="371"/>
      <c r="AI88" s="371"/>
      <c r="AJ88" s="371"/>
      <c r="AK88" s="371"/>
      <c r="AL88" s="371"/>
      <c r="AM88" s="371"/>
      <c r="AN88" s="371"/>
      <c r="AO88" s="371"/>
      <c r="AP88" s="371"/>
      <c r="AQ88" s="371"/>
      <c r="AR88" s="371"/>
      <c r="AS88" s="371"/>
      <c r="AT88" s="371"/>
      <c r="AU88" s="371"/>
      <c r="AV88" s="371"/>
      <c r="AW88" s="371"/>
      <c r="AX88" s="371"/>
      <c r="AY88" s="371"/>
      <c r="AZ88" s="371"/>
      <c r="BA88" s="371"/>
      <c r="BB88" s="371"/>
      <c r="BC88" s="372"/>
      <c r="BD88" s="13"/>
      <c r="BE88" s="297"/>
      <c r="BF88" s="297"/>
      <c r="BG88" s="297"/>
      <c r="BH88" s="172"/>
      <c r="BI88" s="227"/>
      <c r="BJ88" s="227"/>
      <c r="BK88" s="172"/>
      <c r="BL88" s="227"/>
      <c r="BM88" s="227"/>
      <c r="BN88" s="172"/>
      <c r="BO88" s="227"/>
      <c r="BP88" s="227"/>
      <c r="BQ88" s="29"/>
    </row>
    <row r="89" spans="1:69" ht="7.5" customHeight="1" thickBot="1">
      <c r="A89" s="19"/>
      <c r="B89" s="373"/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/>
      <c r="R89" s="374"/>
      <c r="S89" s="374"/>
      <c r="T89" s="374"/>
      <c r="U89" s="374"/>
      <c r="V89" s="374"/>
      <c r="W89" s="374"/>
      <c r="X89" s="374"/>
      <c r="Y89" s="374"/>
      <c r="Z89" s="374"/>
      <c r="AA89" s="374"/>
      <c r="AB89" s="374"/>
      <c r="AC89" s="374"/>
      <c r="AD89" s="374"/>
      <c r="AE89" s="374"/>
      <c r="AF89" s="374"/>
      <c r="AG89" s="374"/>
      <c r="AH89" s="374"/>
      <c r="AI89" s="374"/>
      <c r="AJ89" s="374"/>
      <c r="AK89" s="374"/>
      <c r="AL89" s="374"/>
      <c r="AM89" s="374"/>
      <c r="AN89" s="374"/>
      <c r="AO89" s="374"/>
      <c r="AP89" s="374"/>
      <c r="AQ89" s="374"/>
      <c r="AR89" s="374"/>
      <c r="AS89" s="374"/>
      <c r="AT89" s="374"/>
      <c r="AU89" s="374"/>
      <c r="AV89" s="374"/>
      <c r="AW89" s="374"/>
      <c r="AX89" s="374"/>
      <c r="AY89" s="374"/>
      <c r="AZ89" s="374"/>
      <c r="BA89" s="374"/>
      <c r="BB89" s="374"/>
      <c r="BC89" s="375"/>
      <c r="BD89" s="13"/>
      <c r="BE89" s="297"/>
      <c r="BF89" s="297"/>
      <c r="BG89" s="297"/>
      <c r="BH89" s="172" t="s">
        <v>318</v>
      </c>
      <c r="BI89" s="227"/>
      <c r="BJ89" s="227"/>
      <c r="BK89" s="172" t="s">
        <v>319</v>
      </c>
      <c r="BL89" s="172"/>
      <c r="BM89" s="208"/>
      <c r="BN89" s="209"/>
      <c r="BO89" s="204" t="s">
        <v>875</v>
      </c>
      <c r="BP89" s="209"/>
      <c r="BQ89" s="29"/>
    </row>
    <row r="90" spans="1:69" ht="7.5" customHeight="1">
      <c r="A90" s="19"/>
      <c r="B90" s="376" t="s">
        <v>269</v>
      </c>
      <c r="C90" s="376"/>
      <c r="D90" s="376"/>
      <c r="E90" s="376"/>
      <c r="F90" s="376"/>
      <c r="G90" s="376"/>
      <c r="H90" s="376"/>
      <c r="I90" s="376"/>
      <c r="J90" s="57"/>
      <c r="K90" s="376" t="s">
        <v>296</v>
      </c>
      <c r="L90" s="376"/>
      <c r="M90" s="376"/>
      <c r="N90" s="376"/>
      <c r="O90" s="376"/>
      <c r="P90" s="376"/>
      <c r="Q90" s="282" t="s">
        <v>291</v>
      </c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  <c r="AC90" s="282"/>
      <c r="AD90" s="282"/>
      <c r="AE90" s="282"/>
      <c r="AF90" s="282"/>
      <c r="AG90" s="282"/>
      <c r="AH90" s="282"/>
      <c r="AI90" s="282"/>
      <c r="AJ90" s="282"/>
      <c r="AK90" s="283"/>
      <c r="AL90" s="13"/>
      <c r="AM90" s="376" t="s">
        <v>297</v>
      </c>
      <c r="AN90" s="376"/>
      <c r="AO90" s="376"/>
      <c r="AP90" s="396"/>
      <c r="AQ90" s="282"/>
      <c r="AR90" s="282"/>
      <c r="AS90" s="282"/>
      <c r="AT90" s="282"/>
      <c r="AU90" s="282"/>
      <c r="AV90" s="282"/>
      <c r="AW90" s="282"/>
      <c r="AX90" s="282"/>
      <c r="AY90" s="282"/>
      <c r="AZ90" s="282"/>
      <c r="BA90" s="282"/>
      <c r="BB90" s="282"/>
      <c r="BC90" s="283"/>
      <c r="BD90" s="13"/>
      <c r="BE90" s="297"/>
      <c r="BF90" s="297"/>
      <c r="BG90" s="297"/>
      <c r="BH90" s="172"/>
      <c r="BI90" s="227"/>
      <c r="BJ90" s="227"/>
      <c r="BK90" s="172"/>
      <c r="BL90" s="172"/>
      <c r="BM90" s="210"/>
      <c r="BN90" s="211"/>
      <c r="BO90" s="205"/>
      <c r="BP90" s="211"/>
      <c r="BQ90" s="29"/>
    </row>
    <row r="91" spans="1:69" ht="7.5" customHeight="1">
      <c r="A91" s="19"/>
      <c r="B91" s="377"/>
      <c r="C91" s="377"/>
      <c r="D91" s="377"/>
      <c r="E91" s="377"/>
      <c r="F91" s="377"/>
      <c r="G91" s="377"/>
      <c r="H91" s="377"/>
      <c r="I91" s="377"/>
      <c r="J91" s="57"/>
      <c r="K91" s="377"/>
      <c r="L91" s="377"/>
      <c r="M91" s="377"/>
      <c r="N91" s="377"/>
      <c r="O91" s="377"/>
      <c r="P91" s="377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83"/>
      <c r="AL91" s="51"/>
      <c r="AM91" s="377"/>
      <c r="AN91" s="377"/>
      <c r="AO91" s="377"/>
      <c r="AP91" s="396"/>
      <c r="AQ91" s="282"/>
      <c r="AR91" s="282"/>
      <c r="AS91" s="282"/>
      <c r="AT91" s="282"/>
      <c r="AU91" s="282"/>
      <c r="AV91" s="282"/>
      <c r="AW91" s="282"/>
      <c r="AX91" s="282"/>
      <c r="AY91" s="282"/>
      <c r="AZ91" s="282"/>
      <c r="BA91" s="282"/>
      <c r="BB91" s="282"/>
      <c r="BC91" s="283"/>
      <c r="BD91" s="13"/>
      <c r="BE91" s="297" t="s">
        <v>321</v>
      </c>
      <c r="BF91" s="297"/>
      <c r="BG91" s="297"/>
      <c r="BH91" s="172" t="s">
        <v>315</v>
      </c>
      <c r="BI91" s="228">
        <f>IF(BI83="","",BI83+BI87)</f>
      </c>
      <c r="BJ91" s="228"/>
      <c r="BK91" s="172" t="s">
        <v>316</v>
      </c>
      <c r="BL91" s="228">
        <f>IF(BL83="","",BL83+BL87)</f>
      </c>
      <c r="BM91" s="228"/>
      <c r="BN91" s="172" t="s">
        <v>317</v>
      </c>
      <c r="BO91" s="228">
        <f>IF(BO83="","",BO83-BO87)</f>
      </c>
      <c r="BP91" s="228"/>
      <c r="BQ91" s="29"/>
    </row>
    <row r="92" spans="1:69" ht="7.5" customHeight="1">
      <c r="A92" s="19"/>
      <c r="B92" s="377"/>
      <c r="C92" s="377"/>
      <c r="D92" s="377"/>
      <c r="E92" s="377"/>
      <c r="F92" s="377"/>
      <c r="G92" s="377"/>
      <c r="H92" s="377"/>
      <c r="I92" s="377"/>
      <c r="J92" s="57"/>
      <c r="K92" s="377"/>
      <c r="L92" s="377"/>
      <c r="M92" s="377"/>
      <c r="N92" s="377"/>
      <c r="O92" s="377"/>
      <c r="P92" s="377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5"/>
      <c r="AL92" s="51"/>
      <c r="AM92" s="377"/>
      <c r="AN92" s="377"/>
      <c r="AO92" s="377"/>
      <c r="AP92" s="397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5"/>
      <c r="BD92" s="13"/>
      <c r="BE92" s="297"/>
      <c r="BF92" s="297"/>
      <c r="BG92" s="297"/>
      <c r="BH92" s="172"/>
      <c r="BI92" s="228"/>
      <c r="BJ92" s="228"/>
      <c r="BK92" s="172"/>
      <c r="BL92" s="228"/>
      <c r="BM92" s="228"/>
      <c r="BN92" s="172"/>
      <c r="BO92" s="228"/>
      <c r="BP92" s="228"/>
      <c r="BQ92" s="29"/>
    </row>
    <row r="93" spans="1:69" ht="7.5" customHeight="1">
      <c r="A93" s="19"/>
      <c r="B93" s="172" t="s">
        <v>293</v>
      </c>
      <c r="C93" s="172"/>
      <c r="D93" s="172"/>
      <c r="E93" s="172"/>
      <c r="F93" s="172"/>
      <c r="G93" s="172"/>
      <c r="H93" s="172"/>
      <c r="I93" s="172"/>
      <c r="J93" s="49"/>
      <c r="K93" s="172" t="s">
        <v>298</v>
      </c>
      <c r="L93" s="172"/>
      <c r="M93" s="172"/>
      <c r="N93" s="228">
        <f>IF(INDEX(Таблицы!AC332:AC375,Таблицы!Y336,1)="","",INDEX(Таблицы!AC332:AC375,Таблицы!Y336,1))</f>
      </c>
      <c r="O93" s="228"/>
      <c r="P93" s="228"/>
      <c r="Q93" s="384" t="s">
        <v>103</v>
      </c>
      <c r="R93" s="384"/>
      <c r="S93" s="384"/>
      <c r="T93" s="384"/>
      <c r="U93" s="385"/>
      <c r="V93" s="383" t="s">
        <v>294</v>
      </c>
      <c r="W93" s="384"/>
      <c r="X93" s="384"/>
      <c r="Y93" s="384"/>
      <c r="Z93" s="385"/>
      <c r="AA93" s="327" t="s">
        <v>299</v>
      </c>
      <c r="AB93" s="328"/>
      <c r="AC93" s="328"/>
      <c r="AD93" s="328"/>
      <c r="AE93" s="346"/>
      <c r="AF93" s="44"/>
      <c r="AG93" s="54"/>
      <c r="AH93" s="44"/>
      <c r="AI93" s="44"/>
      <c r="AJ93" s="44"/>
      <c r="AK93" s="45"/>
      <c r="AL93" s="13"/>
      <c r="AM93" s="327" t="s">
        <v>298</v>
      </c>
      <c r="AN93" s="328"/>
      <c r="AO93" s="346"/>
      <c r="AP93" s="354">
        <f>IF(INDEX(Таблицы!AC378:AC396,Таблицы!Y382,1)="","",INDEX(Таблицы!AC378:AC396,Таблицы!Y382,1))</f>
      </c>
      <c r="AQ93" s="355"/>
      <c r="AR93" s="356"/>
      <c r="AS93" s="383" t="s">
        <v>103</v>
      </c>
      <c r="AT93" s="384"/>
      <c r="AU93" s="384"/>
      <c r="AV93" s="384"/>
      <c r="AW93" s="385"/>
      <c r="AX93" s="44"/>
      <c r="AY93" s="54"/>
      <c r="AZ93" s="44"/>
      <c r="BA93" s="44"/>
      <c r="BB93" s="44"/>
      <c r="BC93" s="45"/>
      <c r="BD93" s="13"/>
      <c r="BE93" s="297"/>
      <c r="BF93" s="297"/>
      <c r="BG93" s="297"/>
      <c r="BH93" s="172" t="s">
        <v>318</v>
      </c>
      <c r="BI93" s="228">
        <f>IF(BI85="","",BI85+BI89)</f>
      </c>
      <c r="BJ93" s="228"/>
      <c r="BK93" s="172" t="s">
        <v>319</v>
      </c>
      <c r="BL93" s="172"/>
      <c r="BM93" s="204">
        <f>IF(BM85="","",BM85+BM89)</f>
      </c>
      <c r="BN93" s="206"/>
      <c r="BO93" s="204" t="s">
        <v>875</v>
      </c>
      <c r="BP93" s="206">
        <f>IF(BP85="","",BP85+BP89)</f>
      </c>
      <c r="BQ93" s="29"/>
    </row>
    <row r="94" spans="1:69" ht="7.5" customHeight="1">
      <c r="A94" s="19"/>
      <c r="B94" s="172"/>
      <c r="C94" s="172"/>
      <c r="D94" s="172"/>
      <c r="E94" s="172"/>
      <c r="F94" s="172"/>
      <c r="G94" s="172"/>
      <c r="H94" s="172"/>
      <c r="I94" s="172"/>
      <c r="J94" s="49"/>
      <c r="K94" s="172"/>
      <c r="L94" s="172"/>
      <c r="M94" s="172"/>
      <c r="N94" s="228"/>
      <c r="O94" s="228"/>
      <c r="P94" s="228"/>
      <c r="Q94" s="330"/>
      <c r="R94" s="330"/>
      <c r="S94" s="384"/>
      <c r="T94" s="384"/>
      <c r="U94" s="385"/>
      <c r="V94" s="329"/>
      <c r="W94" s="330"/>
      <c r="X94" s="384"/>
      <c r="Y94" s="384"/>
      <c r="Z94" s="385"/>
      <c r="AA94" s="329"/>
      <c r="AB94" s="330"/>
      <c r="AC94" s="330"/>
      <c r="AD94" s="330"/>
      <c r="AE94" s="347"/>
      <c r="AF94" s="53"/>
      <c r="AG94" s="13"/>
      <c r="AH94" s="46"/>
      <c r="AI94" s="46"/>
      <c r="AJ94" s="46"/>
      <c r="AK94" s="47"/>
      <c r="AL94" s="56"/>
      <c r="AM94" s="329"/>
      <c r="AN94" s="330"/>
      <c r="AO94" s="347"/>
      <c r="AP94" s="357"/>
      <c r="AQ94" s="358"/>
      <c r="AR94" s="359"/>
      <c r="AS94" s="329"/>
      <c r="AT94" s="330"/>
      <c r="AU94" s="384"/>
      <c r="AV94" s="384"/>
      <c r="AW94" s="385"/>
      <c r="AX94" s="53"/>
      <c r="AY94" s="13"/>
      <c r="AZ94" s="46"/>
      <c r="BA94" s="46"/>
      <c r="BB94" s="46"/>
      <c r="BC94" s="47"/>
      <c r="BD94" s="13"/>
      <c r="BE94" s="297"/>
      <c r="BF94" s="297"/>
      <c r="BG94" s="297"/>
      <c r="BH94" s="172"/>
      <c r="BI94" s="228"/>
      <c r="BJ94" s="228"/>
      <c r="BK94" s="172"/>
      <c r="BL94" s="172"/>
      <c r="BM94" s="205"/>
      <c r="BN94" s="207"/>
      <c r="BO94" s="205"/>
      <c r="BP94" s="207"/>
      <c r="BQ94" s="29"/>
    </row>
    <row r="95" spans="1:69" ht="7.5" customHeight="1">
      <c r="A95" s="19"/>
      <c r="B95" s="228">
        <f>O66+IF(N93="",0,N93)</f>
        <v>5</v>
      </c>
      <c r="C95" s="228"/>
      <c r="D95" s="228"/>
      <c r="E95" s="228"/>
      <c r="F95" s="228"/>
      <c r="G95" s="228"/>
      <c r="H95" s="228"/>
      <c r="I95" s="228"/>
      <c r="J95" s="58"/>
      <c r="K95" s="378" t="s">
        <v>231</v>
      </c>
      <c r="L95" s="378"/>
      <c r="M95" s="378"/>
      <c r="N95" s="378"/>
      <c r="O95" s="378"/>
      <c r="P95" s="378"/>
      <c r="Q95" s="387">
        <f>IF(INDEX(Таблицы!AD332:AD375,Таблицы!Y336,1)="",0,INDEX(Таблицы!AD332:AD375,Таблицы!Y336,1))+INDEX(Таблицы!V2:V10,Таблицы!I1,1)+IF(AND(Таблицы!I1=8,OR(Таблицы!F165=26,Таблицы!F166=26)),5,0)</f>
        <v>0</v>
      </c>
      <c r="R95" s="369"/>
      <c r="S95" s="365">
        <f>IF(INDEX(Таблицы!AE332:AE375,Таблицы!Y336,1)&lt;Таблицы!BD344/100,0,INDEX(Таблицы!AE332:AE375,Таблицы!Y336,1)-Таблицы!BD344/100)+INDEX(Таблицы!W2:W10,Таблицы!I1,1)</f>
        <v>0</v>
      </c>
      <c r="T95" s="365"/>
      <c r="U95" s="366"/>
      <c r="V95" s="274"/>
      <c r="W95" s="386"/>
      <c r="X95" s="379"/>
      <c r="Y95" s="379"/>
      <c r="Z95" s="380"/>
      <c r="AA95" s="298">
        <f>Q95+V95</f>
        <v>0</v>
      </c>
      <c r="AB95" s="369"/>
      <c r="AC95" s="365">
        <f>IF(S95+X95&lt;0,0,S95+X95)</f>
        <v>0</v>
      </c>
      <c r="AD95" s="365"/>
      <c r="AE95" s="366"/>
      <c r="AF95" s="360" t="s">
        <v>100</v>
      </c>
      <c r="AG95" s="361"/>
      <c r="AH95" s="364">
        <v>1</v>
      </c>
      <c r="AI95" s="364"/>
      <c r="AJ95" s="364">
        <v>2</v>
      </c>
      <c r="AK95" s="364"/>
      <c r="AL95" s="13"/>
      <c r="AM95" s="378" t="s">
        <v>231</v>
      </c>
      <c r="AN95" s="378"/>
      <c r="AO95" s="378"/>
      <c r="AP95" s="378"/>
      <c r="AQ95" s="378"/>
      <c r="AR95" s="378"/>
      <c r="AS95" s="298">
        <f>IF(INDEX(Таблицы!AD378:AD396,Таблицы!Y382,1)="",0,INDEX(Таблицы!AD378:AD396,Таблицы!Y382,1))</f>
        <v>0</v>
      </c>
      <c r="AT95" s="369"/>
      <c r="AU95" s="365">
        <f>IF(INDEX(Таблицы!AE378:AE396,Таблицы!Y382,1)&lt;Таблицы!BC390/100,0,INDEX(Таблицы!AE378:AE396,Таблицы!Y382,1)-Таблицы!BC390/100)</f>
        <v>0</v>
      </c>
      <c r="AV95" s="365"/>
      <c r="AW95" s="366"/>
      <c r="AX95" s="360" t="s">
        <v>100</v>
      </c>
      <c r="AY95" s="361"/>
      <c r="AZ95" s="364">
        <v>1</v>
      </c>
      <c r="BA95" s="364"/>
      <c r="BB95" s="364">
        <v>2</v>
      </c>
      <c r="BC95" s="364"/>
      <c r="BD95" s="13"/>
      <c r="BE95" s="327" t="s">
        <v>327</v>
      </c>
      <c r="BF95" s="328"/>
      <c r="BG95" s="328"/>
      <c r="BH95" s="328"/>
      <c r="BI95" s="328"/>
      <c r="BJ95" s="328"/>
      <c r="BK95" s="328"/>
      <c r="BL95" s="328"/>
      <c r="BM95" s="328"/>
      <c r="BN95" s="328"/>
      <c r="BO95" s="328"/>
      <c r="BP95" s="346"/>
      <c r="BQ95" s="29"/>
    </row>
    <row r="96" spans="1:69" ht="7.5" customHeight="1">
      <c r="A96" s="19"/>
      <c r="B96" s="228"/>
      <c r="C96" s="228"/>
      <c r="D96" s="228"/>
      <c r="E96" s="228"/>
      <c r="F96" s="228"/>
      <c r="G96" s="228"/>
      <c r="H96" s="228"/>
      <c r="I96" s="228"/>
      <c r="J96" s="58"/>
      <c r="K96" s="378"/>
      <c r="L96" s="378"/>
      <c r="M96" s="378"/>
      <c r="N96" s="378"/>
      <c r="O96" s="378"/>
      <c r="P96" s="378"/>
      <c r="Q96" s="387"/>
      <c r="R96" s="369"/>
      <c r="S96" s="367"/>
      <c r="T96" s="367"/>
      <c r="U96" s="368"/>
      <c r="V96" s="274"/>
      <c r="W96" s="386"/>
      <c r="X96" s="381"/>
      <c r="Y96" s="381"/>
      <c r="Z96" s="382"/>
      <c r="AA96" s="298"/>
      <c r="AB96" s="369"/>
      <c r="AC96" s="367"/>
      <c r="AD96" s="367"/>
      <c r="AE96" s="368"/>
      <c r="AF96" s="360"/>
      <c r="AG96" s="361"/>
      <c r="AH96" s="224"/>
      <c r="AI96" s="224"/>
      <c r="AJ96" s="224"/>
      <c r="AK96" s="224"/>
      <c r="AL96" s="13"/>
      <c r="AM96" s="378"/>
      <c r="AN96" s="378"/>
      <c r="AO96" s="378"/>
      <c r="AP96" s="378"/>
      <c r="AQ96" s="378"/>
      <c r="AR96" s="378"/>
      <c r="AS96" s="298"/>
      <c r="AT96" s="369"/>
      <c r="AU96" s="367"/>
      <c r="AV96" s="367"/>
      <c r="AW96" s="368"/>
      <c r="AX96" s="360"/>
      <c r="AY96" s="361"/>
      <c r="AZ96" s="224"/>
      <c r="BA96" s="224"/>
      <c r="BB96" s="224"/>
      <c r="BC96" s="224"/>
      <c r="BD96" s="13"/>
      <c r="BE96" s="329"/>
      <c r="BF96" s="330"/>
      <c r="BG96" s="330"/>
      <c r="BH96" s="330"/>
      <c r="BI96" s="330"/>
      <c r="BJ96" s="330"/>
      <c r="BK96" s="330"/>
      <c r="BL96" s="330"/>
      <c r="BM96" s="330"/>
      <c r="BN96" s="330"/>
      <c r="BO96" s="330"/>
      <c r="BP96" s="347"/>
      <c r="BQ96" s="29"/>
    </row>
    <row r="97" spans="1:69" ht="7.5" customHeight="1">
      <c r="A97" s="19"/>
      <c r="B97" s="172" t="s">
        <v>300</v>
      </c>
      <c r="C97" s="172"/>
      <c r="D97" s="172"/>
      <c r="E97" s="172"/>
      <c r="F97" s="172"/>
      <c r="G97" s="172"/>
      <c r="H97" s="172"/>
      <c r="I97" s="172"/>
      <c r="J97" s="49"/>
      <c r="K97" s="378" t="s">
        <v>104</v>
      </c>
      <c r="L97" s="378"/>
      <c r="M97" s="378"/>
      <c r="N97" s="378"/>
      <c r="O97" s="378"/>
      <c r="P97" s="378"/>
      <c r="Q97" s="387">
        <f>IF(INDEX(Таблицы!AF332:AF375,Таблицы!Y336,1)="",0,INDEX(Таблицы!AF332:AF375,Таблицы!Y336,1))+INDEX(Таблицы!X2:X10,Таблицы!I1,1)+IF(AND(Таблицы!I1=8,OR(Таблицы!F165=26,Таблицы!F166=26)),5,0)</f>
        <v>0</v>
      </c>
      <c r="R97" s="369"/>
      <c r="S97" s="365">
        <f>IF(INDEX(Таблицы!AG332:AG375,Таблицы!Y336,1)&lt;Таблицы!BD344/100,0,INDEX(Таблицы!AG332:AG375,Таблицы!Y336,1)-Таблицы!BD344/100)+INDEX(Таблицы!Y2:Y10,Таблицы!I1,1)</f>
        <v>0</v>
      </c>
      <c r="T97" s="365"/>
      <c r="U97" s="366"/>
      <c r="V97" s="274"/>
      <c r="W97" s="386"/>
      <c r="X97" s="379"/>
      <c r="Y97" s="379"/>
      <c r="Z97" s="380"/>
      <c r="AA97" s="298">
        <f>Q97+V97</f>
        <v>0</v>
      </c>
      <c r="AB97" s="369"/>
      <c r="AC97" s="365">
        <f>IF(S97+X97&lt;0,0,S97+X97)</f>
        <v>0</v>
      </c>
      <c r="AD97" s="365"/>
      <c r="AE97" s="366"/>
      <c r="AF97" s="360"/>
      <c r="AG97" s="361"/>
      <c r="AH97" s="224">
        <v>3</v>
      </c>
      <c r="AI97" s="224"/>
      <c r="AJ97" s="224">
        <v>4</v>
      </c>
      <c r="AK97" s="224"/>
      <c r="AL97" s="13"/>
      <c r="AM97" s="378" t="s">
        <v>104</v>
      </c>
      <c r="AN97" s="378"/>
      <c r="AO97" s="378"/>
      <c r="AP97" s="378"/>
      <c r="AQ97" s="378"/>
      <c r="AR97" s="378"/>
      <c r="AS97" s="298">
        <f>IF(INDEX(Таблицы!AF378:AF396,Таблицы!Y382,1)="",0,INDEX(Таблицы!AF378:AF396,Таблицы!Y382,1))</f>
        <v>0</v>
      </c>
      <c r="AT97" s="369"/>
      <c r="AU97" s="365">
        <f>IF(INDEX(Таблицы!AG378:AG396,Таблицы!Y382,1)&lt;Таблицы!BC390/100,0,INDEX(Таблицы!AG378:AG396,Таблицы!Y382,1)-Таблицы!BC390/100)</f>
        <v>0</v>
      </c>
      <c r="AV97" s="365"/>
      <c r="AW97" s="366"/>
      <c r="AX97" s="360"/>
      <c r="AY97" s="361"/>
      <c r="AZ97" s="224">
        <v>3</v>
      </c>
      <c r="BA97" s="224"/>
      <c r="BB97" s="224">
        <v>4</v>
      </c>
      <c r="BC97" s="224"/>
      <c r="BD97" s="13"/>
      <c r="BE97" s="348">
        <f>IF(INDEX(Таблицы!AT483:AT515,Таблицы!Y486,1)="","",INDEX(Таблицы!AT483:AT515,Таблицы!Y486,1))</f>
      </c>
      <c r="BF97" s="349"/>
      <c r="BG97" s="349"/>
      <c r="BH97" s="349"/>
      <c r="BI97" s="349"/>
      <c r="BJ97" s="349"/>
      <c r="BK97" s="349"/>
      <c r="BL97" s="349"/>
      <c r="BM97" s="349"/>
      <c r="BN97" s="349"/>
      <c r="BO97" s="349"/>
      <c r="BP97" s="350"/>
      <c r="BQ97" s="29"/>
    </row>
    <row r="98" spans="1:69" ht="7.5" customHeight="1">
      <c r="A98" s="19"/>
      <c r="B98" s="172"/>
      <c r="C98" s="172"/>
      <c r="D98" s="172"/>
      <c r="E98" s="172"/>
      <c r="F98" s="172"/>
      <c r="G98" s="172"/>
      <c r="H98" s="172"/>
      <c r="I98" s="172"/>
      <c r="J98" s="49"/>
      <c r="K98" s="378"/>
      <c r="L98" s="378"/>
      <c r="M98" s="378"/>
      <c r="N98" s="378"/>
      <c r="O98" s="378"/>
      <c r="P98" s="378"/>
      <c r="Q98" s="387"/>
      <c r="R98" s="369"/>
      <c r="S98" s="367"/>
      <c r="T98" s="367"/>
      <c r="U98" s="368"/>
      <c r="V98" s="274"/>
      <c r="W98" s="386"/>
      <c r="X98" s="381"/>
      <c r="Y98" s="381"/>
      <c r="Z98" s="382"/>
      <c r="AA98" s="298"/>
      <c r="AB98" s="369"/>
      <c r="AC98" s="367"/>
      <c r="AD98" s="367"/>
      <c r="AE98" s="368"/>
      <c r="AF98" s="360"/>
      <c r="AG98" s="361"/>
      <c r="AH98" s="224"/>
      <c r="AI98" s="224"/>
      <c r="AJ98" s="224"/>
      <c r="AK98" s="224"/>
      <c r="AL98" s="13"/>
      <c r="AM98" s="378"/>
      <c r="AN98" s="378"/>
      <c r="AO98" s="378"/>
      <c r="AP98" s="378"/>
      <c r="AQ98" s="378"/>
      <c r="AR98" s="378"/>
      <c r="AS98" s="298"/>
      <c r="AT98" s="369"/>
      <c r="AU98" s="367"/>
      <c r="AV98" s="367"/>
      <c r="AW98" s="368"/>
      <c r="AX98" s="360"/>
      <c r="AY98" s="361"/>
      <c r="AZ98" s="224"/>
      <c r="BA98" s="224"/>
      <c r="BB98" s="224"/>
      <c r="BC98" s="224"/>
      <c r="BD98" s="13"/>
      <c r="BE98" s="351"/>
      <c r="BF98" s="352"/>
      <c r="BG98" s="352"/>
      <c r="BH98" s="352"/>
      <c r="BI98" s="352"/>
      <c r="BJ98" s="352"/>
      <c r="BK98" s="352"/>
      <c r="BL98" s="352"/>
      <c r="BM98" s="352"/>
      <c r="BN98" s="352"/>
      <c r="BO98" s="352"/>
      <c r="BP98" s="353"/>
      <c r="BQ98" s="29"/>
    </row>
    <row r="99" spans="1:69" ht="7.5" customHeight="1" thickBot="1">
      <c r="A99" s="19"/>
      <c r="B99" s="227"/>
      <c r="C99" s="227"/>
      <c r="D99" s="227"/>
      <c r="E99" s="227"/>
      <c r="F99" s="227"/>
      <c r="G99" s="227"/>
      <c r="H99" s="227"/>
      <c r="I99" s="227"/>
      <c r="J99" s="58"/>
      <c r="K99" s="378" t="s">
        <v>107</v>
      </c>
      <c r="L99" s="378"/>
      <c r="M99" s="378"/>
      <c r="N99" s="378"/>
      <c r="O99" s="378"/>
      <c r="P99" s="378"/>
      <c r="Q99" s="387">
        <f>IF(INDEX(Таблицы!AH332:AH375,Таблицы!Y336,1)="",0,INDEX(Таблицы!AH332:AH375,Таблицы!Y336,1))+INDEX(Таблицы!Z2:Z10,Таблицы!I1,1)+IF(AND(Таблицы!I1=8,OR(Таблицы!F165=26,Таблицы!F166=26)),5,0)</f>
        <v>0</v>
      </c>
      <c r="R99" s="369"/>
      <c r="S99" s="365">
        <f>IF(INDEX(Таблицы!AI332:AI375,Таблицы!Y336,1)&lt;Таблицы!BD344/100,0,INDEX(Таблицы!AI332:AI375,Таблицы!Y336,1)-Таблицы!BD344/100)+INDEX(Таблицы!AA2:AA10,Таблицы!I1,1)</f>
        <v>0</v>
      </c>
      <c r="T99" s="365"/>
      <c r="U99" s="366"/>
      <c r="V99" s="274"/>
      <c r="W99" s="386"/>
      <c r="X99" s="379"/>
      <c r="Y99" s="379"/>
      <c r="Z99" s="380"/>
      <c r="AA99" s="298">
        <f>Q99+V99</f>
        <v>0</v>
      </c>
      <c r="AB99" s="369"/>
      <c r="AC99" s="365">
        <f>IF(S99+X99&lt;0,0,S99+X99)</f>
        <v>0</v>
      </c>
      <c r="AD99" s="365"/>
      <c r="AE99" s="366"/>
      <c r="AF99" s="360"/>
      <c r="AG99" s="361"/>
      <c r="AH99" s="224">
        <v>5</v>
      </c>
      <c r="AI99" s="224"/>
      <c r="AJ99" s="224">
        <v>6</v>
      </c>
      <c r="AK99" s="224"/>
      <c r="AL99" s="13"/>
      <c r="AM99" s="378" t="s">
        <v>107</v>
      </c>
      <c r="AN99" s="378"/>
      <c r="AO99" s="378"/>
      <c r="AP99" s="378"/>
      <c r="AQ99" s="378"/>
      <c r="AR99" s="378"/>
      <c r="AS99" s="298">
        <f>IF(INDEX(Таблицы!AH378:AH396,Таблицы!Y382,1)="",0,INDEX(Таблицы!AH378:AH396,Таблицы!Y382,1))</f>
        <v>0</v>
      </c>
      <c r="AT99" s="369"/>
      <c r="AU99" s="365">
        <f>IF(INDEX(Таблицы!AI378:AI396,Таблицы!Y382,1)&lt;Таблицы!BC390/100,0,INDEX(Таблицы!AI378:AI396,Таблицы!Y382,1)-Таблицы!BC390/100)</f>
        <v>0</v>
      </c>
      <c r="AV99" s="365"/>
      <c r="AW99" s="366"/>
      <c r="AX99" s="360"/>
      <c r="AY99" s="361"/>
      <c r="AZ99" s="224">
        <v>5</v>
      </c>
      <c r="BA99" s="224"/>
      <c r="BB99" s="224">
        <v>6</v>
      </c>
      <c r="BC99" s="224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29"/>
    </row>
    <row r="100" spans="1:69" ht="7.5" customHeight="1">
      <c r="A100" s="19"/>
      <c r="B100" s="227"/>
      <c r="C100" s="227"/>
      <c r="D100" s="227"/>
      <c r="E100" s="227"/>
      <c r="F100" s="227"/>
      <c r="G100" s="227"/>
      <c r="H100" s="227"/>
      <c r="I100" s="227"/>
      <c r="J100" s="58"/>
      <c r="K100" s="378"/>
      <c r="L100" s="378"/>
      <c r="M100" s="378"/>
      <c r="N100" s="378"/>
      <c r="O100" s="378"/>
      <c r="P100" s="378"/>
      <c r="Q100" s="387"/>
      <c r="R100" s="369"/>
      <c r="S100" s="367"/>
      <c r="T100" s="367"/>
      <c r="U100" s="368"/>
      <c r="V100" s="274"/>
      <c r="W100" s="386"/>
      <c r="X100" s="381"/>
      <c r="Y100" s="381"/>
      <c r="Z100" s="382"/>
      <c r="AA100" s="298"/>
      <c r="AB100" s="369"/>
      <c r="AC100" s="367"/>
      <c r="AD100" s="367"/>
      <c r="AE100" s="368"/>
      <c r="AF100" s="360"/>
      <c r="AG100" s="361"/>
      <c r="AH100" s="224"/>
      <c r="AI100" s="224"/>
      <c r="AJ100" s="224"/>
      <c r="AK100" s="224"/>
      <c r="AL100" s="13"/>
      <c r="AM100" s="378"/>
      <c r="AN100" s="378"/>
      <c r="AO100" s="378"/>
      <c r="AP100" s="378"/>
      <c r="AQ100" s="378"/>
      <c r="AR100" s="378"/>
      <c r="AS100" s="298"/>
      <c r="AT100" s="369"/>
      <c r="AU100" s="367"/>
      <c r="AV100" s="367"/>
      <c r="AW100" s="368"/>
      <c r="AX100" s="360"/>
      <c r="AY100" s="361"/>
      <c r="AZ100" s="224"/>
      <c r="BA100" s="224"/>
      <c r="BB100" s="224"/>
      <c r="BC100" s="224"/>
      <c r="BD100" s="13"/>
      <c r="BE100" s="321" t="s">
        <v>1077</v>
      </c>
      <c r="BF100" s="322"/>
      <c r="BG100" s="322"/>
      <c r="BH100" s="322"/>
      <c r="BI100" s="322"/>
      <c r="BJ100" s="322"/>
      <c r="BK100" s="322"/>
      <c r="BL100" s="322"/>
      <c r="BM100" s="322"/>
      <c r="BN100" s="322"/>
      <c r="BO100" s="322"/>
      <c r="BP100" s="323"/>
      <c r="BQ100" s="29"/>
    </row>
    <row r="101" spans="1:69" ht="7.5" customHeight="1" thickBot="1">
      <c r="A101" s="59"/>
      <c r="B101" s="172" t="s">
        <v>295</v>
      </c>
      <c r="C101" s="172"/>
      <c r="D101" s="172"/>
      <c r="E101" s="172"/>
      <c r="F101" s="172"/>
      <c r="G101" s="172"/>
      <c r="H101" s="172"/>
      <c r="I101" s="172"/>
      <c r="J101" s="49"/>
      <c r="K101" s="378" t="s">
        <v>105</v>
      </c>
      <c r="L101" s="378"/>
      <c r="M101" s="378"/>
      <c r="N101" s="378"/>
      <c r="O101" s="378"/>
      <c r="P101" s="378"/>
      <c r="Q101" s="387">
        <f>IF(INDEX(Таблицы!AJ332:AJ375,Таблицы!Y336,1)="",0,INDEX(Таблицы!AJ332:AJ375,Таблицы!Y336,1))+INDEX(Таблицы!AB2:AB10,Таблицы!I1,1)+IF(AND(Таблицы!I1=8,OR(Таблицы!F165=26,Таблицы!F166=26)),5,0)</f>
        <v>0</v>
      </c>
      <c r="R101" s="369"/>
      <c r="S101" s="365">
        <f>IF(INDEX(Таблицы!AK332:AK375,Таблицы!Y336,1)&lt;Таблицы!BD344/100,0,INDEX(Таблицы!AK332:AK375,Таблицы!Y336,1)-Таблицы!BD344/100)+INDEX(Таблицы!AC2:AC10,Таблицы!I1,1)</f>
        <v>0</v>
      </c>
      <c r="T101" s="365"/>
      <c r="U101" s="366"/>
      <c r="V101" s="274"/>
      <c r="W101" s="386"/>
      <c r="X101" s="379"/>
      <c r="Y101" s="379"/>
      <c r="Z101" s="380"/>
      <c r="AA101" s="298">
        <f>Q101+V101</f>
        <v>0</v>
      </c>
      <c r="AB101" s="369"/>
      <c r="AC101" s="365">
        <f>IF(S101+X101&lt;0,0,S101+X101)</f>
        <v>0</v>
      </c>
      <c r="AD101" s="365"/>
      <c r="AE101" s="366"/>
      <c r="AF101" s="360"/>
      <c r="AG101" s="361"/>
      <c r="AH101" s="224">
        <v>7</v>
      </c>
      <c r="AI101" s="224"/>
      <c r="AJ101" s="224">
        <v>8</v>
      </c>
      <c r="AK101" s="224"/>
      <c r="AL101" s="13"/>
      <c r="AM101" s="378" t="s">
        <v>105</v>
      </c>
      <c r="AN101" s="378"/>
      <c r="AO101" s="378"/>
      <c r="AP101" s="378"/>
      <c r="AQ101" s="378"/>
      <c r="AR101" s="378"/>
      <c r="AS101" s="298">
        <f>IF(INDEX(Таблицы!AJ378:AJ396,Таблицы!Y382,1)="",0,INDEX(Таблицы!AJ378:AJ396,Таблицы!Y382,1))</f>
        <v>0</v>
      </c>
      <c r="AT101" s="369"/>
      <c r="AU101" s="365">
        <f>IF(INDEX(Таблицы!AK378:AK396,Таблицы!Y382,1)&lt;Таблицы!BC390/100,0,INDEX(Таблицы!AK378:AK396,Таблицы!Y382,1)-Таблицы!BC390/100)</f>
        <v>0</v>
      </c>
      <c r="AV101" s="365"/>
      <c r="AW101" s="366"/>
      <c r="AX101" s="360"/>
      <c r="AY101" s="361"/>
      <c r="AZ101" s="224">
        <v>7</v>
      </c>
      <c r="BA101" s="224"/>
      <c r="BB101" s="224">
        <v>8</v>
      </c>
      <c r="BC101" s="224"/>
      <c r="BD101" s="13"/>
      <c r="BE101" s="324"/>
      <c r="BF101" s="325"/>
      <c r="BG101" s="325"/>
      <c r="BH101" s="325"/>
      <c r="BI101" s="325"/>
      <c r="BJ101" s="325"/>
      <c r="BK101" s="325"/>
      <c r="BL101" s="325"/>
      <c r="BM101" s="325"/>
      <c r="BN101" s="325"/>
      <c r="BO101" s="325"/>
      <c r="BP101" s="326"/>
      <c r="BQ101" s="29"/>
    </row>
    <row r="102" spans="1:69" ht="7.5" customHeight="1">
      <c r="A102" s="19"/>
      <c r="B102" s="172"/>
      <c r="C102" s="172"/>
      <c r="D102" s="172"/>
      <c r="E102" s="172"/>
      <c r="F102" s="172"/>
      <c r="G102" s="172"/>
      <c r="H102" s="172"/>
      <c r="I102" s="172"/>
      <c r="J102" s="49"/>
      <c r="K102" s="378"/>
      <c r="L102" s="378"/>
      <c r="M102" s="378"/>
      <c r="N102" s="378"/>
      <c r="O102" s="378"/>
      <c r="P102" s="378"/>
      <c r="Q102" s="387"/>
      <c r="R102" s="369"/>
      <c r="S102" s="367"/>
      <c r="T102" s="367"/>
      <c r="U102" s="368"/>
      <c r="V102" s="274"/>
      <c r="W102" s="386"/>
      <c r="X102" s="381"/>
      <c r="Y102" s="381"/>
      <c r="Z102" s="382"/>
      <c r="AA102" s="298"/>
      <c r="AB102" s="369"/>
      <c r="AC102" s="367"/>
      <c r="AD102" s="367"/>
      <c r="AE102" s="368"/>
      <c r="AF102" s="360"/>
      <c r="AG102" s="361"/>
      <c r="AH102" s="224"/>
      <c r="AI102" s="224"/>
      <c r="AJ102" s="224"/>
      <c r="AK102" s="224"/>
      <c r="AL102" s="13"/>
      <c r="AM102" s="378"/>
      <c r="AN102" s="378"/>
      <c r="AO102" s="378"/>
      <c r="AP102" s="378"/>
      <c r="AQ102" s="378"/>
      <c r="AR102" s="378"/>
      <c r="AS102" s="298"/>
      <c r="AT102" s="369"/>
      <c r="AU102" s="367"/>
      <c r="AV102" s="367"/>
      <c r="AW102" s="368"/>
      <c r="AX102" s="360"/>
      <c r="AY102" s="361"/>
      <c r="AZ102" s="224"/>
      <c r="BA102" s="224"/>
      <c r="BB102" s="224"/>
      <c r="BC102" s="224"/>
      <c r="BD102" s="13"/>
      <c r="BE102" s="395"/>
      <c r="BF102" s="395"/>
      <c r="BG102" s="395"/>
      <c r="BH102" s="395"/>
      <c r="BI102" s="395"/>
      <c r="BJ102" s="395"/>
      <c r="BK102" s="395"/>
      <c r="BL102" s="395"/>
      <c r="BM102" s="395"/>
      <c r="BN102" s="395"/>
      <c r="BO102" s="395"/>
      <c r="BP102" s="395"/>
      <c r="BQ102" s="29"/>
    </row>
    <row r="103" spans="1:69" ht="7.5" customHeight="1">
      <c r="A103" s="19"/>
      <c r="B103" s="228">
        <f>B95+B99</f>
        <v>5</v>
      </c>
      <c r="C103" s="228"/>
      <c r="D103" s="228"/>
      <c r="E103" s="228"/>
      <c r="F103" s="228"/>
      <c r="G103" s="228"/>
      <c r="H103" s="228"/>
      <c r="I103" s="228"/>
      <c r="J103" s="58"/>
      <c r="K103" s="378" t="s">
        <v>106</v>
      </c>
      <c r="L103" s="378"/>
      <c r="M103" s="378"/>
      <c r="N103" s="378"/>
      <c r="O103" s="378"/>
      <c r="P103" s="378"/>
      <c r="Q103" s="387">
        <f>IF(INDEX(Таблицы!AL332:AL375,Таблицы!Y336,1)="",0,INDEX(Таблицы!AL332:AL375,Таблицы!Y336,1))+INDEX(Таблицы!AD2:AD10,Таблицы!I1,1)+IF(AND(Таблицы!I1=8,OR(Таблицы!F165=26,Таблицы!F166=26)),5,0)</f>
        <v>0</v>
      </c>
      <c r="R103" s="369"/>
      <c r="S103" s="365">
        <f>IF(INDEX(Таблицы!AM332:AM375,Таблицы!Y336,1)&lt;Таблицы!BD344/100,0,INDEX(Таблицы!AM332:AM375,Таблицы!Y336,1)-Таблицы!BD344/100)+INDEX(Таблицы!AE2:AE10,Таблицы!I1,1)</f>
        <v>0</v>
      </c>
      <c r="T103" s="365"/>
      <c r="U103" s="366"/>
      <c r="V103" s="274"/>
      <c r="W103" s="386"/>
      <c r="X103" s="379"/>
      <c r="Y103" s="379"/>
      <c r="Z103" s="380"/>
      <c r="AA103" s="298">
        <f>Q103+V103</f>
        <v>0</v>
      </c>
      <c r="AB103" s="369"/>
      <c r="AC103" s="365">
        <f>IF(S103+X103&lt;0,0,S103+X103)</f>
        <v>0</v>
      </c>
      <c r="AD103" s="365"/>
      <c r="AE103" s="366"/>
      <c r="AF103" s="360"/>
      <c r="AG103" s="361"/>
      <c r="AH103" s="224">
        <v>9</v>
      </c>
      <c r="AI103" s="224"/>
      <c r="AJ103" s="224">
        <v>10</v>
      </c>
      <c r="AK103" s="224"/>
      <c r="AL103" s="13"/>
      <c r="AM103" s="378" t="s">
        <v>106</v>
      </c>
      <c r="AN103" s="378"/>
      <c r="AO103" s="378"/>
      <c r="AP103" s="378"/>
      <c r="AQ103" s="378"/>
      <c r="AR103" s="378"/>
      <c r="AS103" s="298" t="s">
        <v>285</v>
      </c>
      <c r="AT103" s="369"/>
      <c r="AU103" s="365" t="s">
        <v>285</v>
      </c>
      <c r="AV103" s="365"/>
      <c r="AW103" s="366"/>
      <c r="AX103" s="360"/>
      <c r="AY103" s="361"/>
      <c r="AZ103" s="224">
        <v>9</v>
      </c>
      <c r="BA103" s="224"/>
      <c r="BB103" s="224">
        <v>10</v>
      </c>
      <c r="BC103" s="224"/>
      <c r="BD103" s="13"/>
      <c r="BE103" s="261"/>
      <c r="BF103" s="261"/>
      <c r="BG103" s="261"/>
      <c r="BH103" s="261"/>
      <c r="BI103" s="261"/>
      <c r="BJ103" s="261"/>
      <c r="BK103" s="261"/>
      <c r="BL103" s="261"/>
      <c r="BM103" s="261"/>
      <c r="BN103" s="261"/>
      <c r="BO103" s="261"/>
      <c r="BP103" s="261"/>
      <c r="BQ103" s="29"/>
    </row>
    <row r="104" spans="1:69" ht="7.5" customHeight="1">
      <c r="A104" s="19"/>
      <c r="B104" s="228"/>
      <c r="C104" s="228"/>
      <c r="D104" s="228"/>
      <c r="E104" s="228"/>
      <c r="F104" s="228"/>
      <c r="G104" s="228"/>
      <c r="H104" s="228"/>
      <c r="I104" s="228"/>
      <c r="J104" s="26"/>
      <c r="K104" s="378"/>
      <c r="L104" s="378"/>
      <c r="M104" s="378"/>
      <c r="N104" s="378"/>
      <c r="O104" s="378"/>
      <c r="P104" s="378"/>
      <c r="Q104" s="387"/>
      <c r="R104" s="369"/>
      <c r="S104" s="367"/>
      <c r="T104" s="367"/>
      <c r="U104" s="368"/>
      <c r="V104" s="274"/>
      <c r="W104" s="386"/>
      <c r="X104" s="381"/>
      <c r="Y104" s="381"/>
      <c r="Z104" s="382"/>
      <c r="AA104" s="298"/>
      <c r="AB104" s="369"/>
      <c r="AC104" s="367"/>
      <c r="AD104" s="367"/>
      <c r="AE104" s="368"/>
      <c r="AF104" s="362"/>
      <c r="AG104" s="363"/>
      <c r="AH104" s="224"/>
      <c r="AI104" s="224"/>
      <c r="AJ104" s="224"/>
      <c r="AK104" s="224"/>
      <c r="AL104" s="13"/>
      <c r="AM104" s="378"/>
      <c r="AN104" s="378"/>
      <c r="AO104" s="378"/>
      <c r="AP104" s="378"/>
      <c r="AQ104" s="378"/>
      <c r="AR104" s="378"/>
      <c r="AS104" s="298"/>
      <c r="AT104" s="369"/>
      <c r="AU104" s="367"/>
      <c r="AV104" s="367"/>
      <c r="AW104" s="368"/>
      <c r="AX104" s="362"/>
      <c r="AY104" s="363"/>
      <c r="AZ104" s="224"/>
      <c r="BA104" s="224"/>
      <c r="BB104" s="224"/>
      <c r="BC104" s="224"/>
      <c r="BD104" s="13"/>
      <c r="BE104" s="261"/>
      <c r="BF104" s="261"/>
      <c r="BG104" s="261"/>
      <c r="BH104" s="261"/>
      <c r="BI104" s="261"/>
      <c r="BJ104" s="261"/>
      <c r="BK104" s="261"/>
      <c r="BL104" s="261"/>
      <c r="BM104" s="261"/>
      <c r="BN104" s="261"/>
      <c r="BO104" s="261"/>
      <c r="BP104" s="261"/>
      <c r="BQ104" s="29"/>
    </row>
    <row r="105" spans="1:69" ht="7.5" customHeight="1">
      <c r="A105" s="65"/>
      <c r="B105" s="46"/>
      <c r="C105" s="46"/>
      <c r="D105" s="46"/>
      <c r="E105" s="46"/>
      <c r="F105" s="68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261"/>
      <c r="BF105" s="261"/>
      <c r="BG105" s="261"/>
      <c r="BH105" s="261"/>
      <c r="BI105" s="261"/>
      <c r="BJ105" s="261"/>
      <c r="BK105" s="261"/>
      <c r="BL105" s="261"/>
      <c r="BM105" s="261"/>
      <c r="BN105" s="261"/>
      <c r="BO105" s="261"/>
      <c r="BP105" s="261"/>
      <c r="BQ105" s="29"/>
    </row>
    <row r="106" spans="1:69" ht="7.5" customHeight="1" thickBot="1">
      <c r="A106" s="19"/>
      <c r="B106" s="13"/>
      <c r="C106" s="13"/>
      <c r="D106" s="13"/>
      <c r="E106" s="13"/>
      <c r="F106" s="35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261"/>
      <c r="BF106" s="261"/>
      <c r="BG106" s="261"/>
      <c r="BH106" s="261"/>
      <c r="BI106" s="261"/>
      <c r="BJ106" s="261"/>
      <c r="BK106" s="261"/>
      <c r="BL106" s="261"/>
      <c r="BM106" s="261"/>
      <c r="BN106" s="261"/>
      <c r="BO106" s="261"/>
      <c r="BP106" s="261"/>
      <c r="BQ106" s="29"/>
    </row>
    <row r="107" spans="1:69" ht="7.5" customHeight="1">
      <c r="A107" s="19"/>
      <c r="B107" s="370" t="s">
        <v>301</v>
      </c>
      <c r="C107" s="371"/>
      <c r="D107" s="371"/>
      <c r="E107" s="371"/>
      <c r="F107" s="371"/>
      <c r="G107" s="371"/>
      <c r="H107" s="371"/>
      <c r="I107" s="371"/>
      <c r="J107" s="371"/>
      <c r="K107" s="371"/>
      <c r="L107" s="371"/>
      <c r="M107" s="371"/>
      <c r="N107" s="371"/>
      <c r="O107" s="371"/>
      <c r="P107" s="371"/>
      <c r="Q107" s="371"/>
      <c r="R107" s="371"/>
      <c r="S107" s="371"/>
      <c r="T107" s="371"/>
      <c r="U107" s="371"/>
      <c r="V107" s="371"/>
      <c r="W107" s="371"/>
      <c r="X107" s="371"/>
      <c r="Y107" s="371"/>
      <c r="Z107" s="371"/>
      <c r="AA107" s="371"/>
      <c r="AB107" s="371"/>
      <c r="AC107" s="371"/>
      <c r="AD107" s="371"/>
      <c r="AE107" s="371"/>
      <c r="AF107" s="371"/>
      <c r="AG107" s="371"/>
      <c r="AH107" s="371"/>
      <c r="AI107" s="371"/>
      <c r="AJ107" s="371"/>
      <c r="AK107" s="371"/>
      <c r="AL107" s="371"/>
      <c r="AM107" s="371"/>
      <c r="AN107" s="371"/>
      <c r="AO107" s="371"/>
      <c r="AP107" s="371"/>
      <c r="AQ107" s="371"/>
      <c r="AR107" s="371"/>
      <c r="AS107" s="371"/>
      <c r="AT107" s="371"/>
      <c r="AU107" s="371"/>
      <c r="AV107" s="371"/>
      <c r="AW107" s="371"/>
      <c r="AX107" s="371"/>
      <c r="AY107" s="371"/>
      <c r="AZ107" s="371"/>
      <c r="BA107" s="371"/>
      <c r="BB107" s="371"/>
      <c r="BC107" s="372"/>
      <c r="BD107" s="13"/>
      <c r="BE107" s="261"/>
      <c r="BF107" s="261"/>
      <c r="BG107" s="261"/>
      <c r="BH107" s="261"/>
      <c r="BI107" s="261"/>
      <c r="BJ107" s="261"/>
      <c r="BK107" s="261"/>
      <c r="BL107" s="261"/>
      <c r="BM107" s="261"/>
      <c r="BN107" s="261"/>
      <c r="BO107" s="261"/>
      <c r="BP107" s="261"/>
      <c r="BQ107" s="29"/>
    </row>
    <row r="108" spans="1:69" ht="7.5" customHeight="1">
      <c r="A108" s="19"/>
      <c r="B108" s="392"/>
      <c r="C108" s="393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3"/>
      <c r="V108" s="393"/>
      <c r="W108" s="393"/>
      <c r="X108" s="393"/>
      <c r="Y108" s="393"/>
      <c r="Z108" s="393"/>
      <c r="AA108" s="393"/>
      <c r="AB108" s="393"/>
      <c r="AC108" s="393"/>
      <c r="AD108" s="393"/>
      <c r="AE108" s="393"/>
      <c r="AF108" s="393"/>
      <c r="AG108" s="393"/>
      <c r="AH108" s="393"/>
      <c r="AI108" s="393"/>
      <c r="AJ108" s="393"/>
      <c r="AK108" s="393"/>
      <c r="AL108" s="393"/>
      <c r="AM108" s="393"/>
      <c r="AN108" s="393"/>
      <c r="AO108" s="393"/>
      <c r="AP108" s="393"/>
      <c r="AQ108" s="393"/>
      <c r="AR108" s="393"/>
      <c r="AS108" s="393"/>
      <c r="AT108" s="393"/>
      <c r="AU108" s="393"/>
      <c r="AV108" s="393"/>
      <c r="AW108" s="393"/>
      <c r="AX108" s="393"/>
      <c r="AY108" s="393"/>
      <c r="AZ108" s="393"/>
      <c r="BA108" s="393"/>
      <c r="BB108" s="393"/>
      <c r="BC108" s="394"/>
      <c r="BD108" s="13"/>
      <c r="BE108" s="261"/>
      <c r="BF108" s="261"/>
      <c r="BG108" s="261"/>
      <c r="BH108" s="261"/>
      <c r="BI108" s="261"/>
      <c r="BJ108" s="261"/>
      <c r="BK108" s="261"/>
      <c r="BL108" s="261"/>
      <c r="BM108" s="261"/>
      <c r="BN108" s="261"/>
      <c r="BO108" s="261"/>
      <c r="BP108" s="261"/>
      <c r="BQ108" s="29"/>
    </row>
    <row r="109" spans="1:69" ht="7.5" customHeight="1">
      <c r="A109" s="19"/>
      <c r="B109" s="336" t="s">
        <v>303</v>
      </c>
      <c r="C109" s="334" t="s">
        <v>304</v>
      </c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88" t="s">
        <v>98</v>
      </c>
      <c r="R109" s="388"/>
      <c r="S109" s="388"/>
      <c r="T109" s="388" t="s">
        <v>229</v>
      </c>
      <c r="U109" s="388"/>
      <c r="V109" s="388"/>
      <c r="W109" s="388" t="s">
        <v>302</v>
      </c>
      <c r="X109" s="388"/>
      <c r="Y109" s="388"/>
      <c r="Z109" s="388" t="s">
        <v>70</v>
      </c>
      <c r="AA109" s="388"/>
      <c r="AB109" s="388"/>
      <c r="AC109" s="334" t="s">
        <v>303</v>
      </c>
      <c r="AD109" s="334" t="s">
        <v>304</v>
      </c>
      <c r="AE109" s="334"/>
      <c r="AF109" s="334"/>
      <c r="AG109" s="334"/>
      <c r="AH109" s="334"/>
      <c r="AI109" s="334"/>
      <c r="AJ109" s="334"/>
      <c r="AK109" s="334"/>
      <c r="AL109" s="334"/>
      <c r="AM109" s="334"/>
      <c r="AN109" s="334"/>
      <c r="AO109" s="334"/>
      <c r="AP109" s="334"/>
      <c r="AQ109" s="334"/>
      <c r="AR109" s="388" t="s">
        <v>98</v>
      </c>
      <c r="AS109" s="388"/>
      <c r="AT109" s="388"/>
      <c r="AU109" s="388" t="s">
        <v>229</v>
      </c>
      <c r="AV109" s="388"/>
      <c r="AW109" s="388"/>
      <c r="AX109" s="388" t="s">
        <v>302</v>
      </c>
      <c r="AY109" s="388"/>
      <c r="AZ109" s="388"/>
      <c r="BA109" s="388" t="s">
        <v>70</v>
      </c>
      <c r="BB109" s="388"/>
      <c r="BC109" s="390"/>
      <c r="BD109" s="13"/>
      <c r="BE109" s="261"/>
      <c r="BF109" s="261"/>
      <c r="BG109" s="261"/>
      <c r="BH109" s="261"/>
      <c r="BI109" s="261"/>
      <c r="BJ109" s="261"/>
      <c r="BK109" s="261"/>
      <c r="BL109" s="261"/>
      <c r="BM109" s="261"/>
      <c r="BN109" s="261"/>
      <c r="BO109" s="261"/>
      <c r="BP109" s="261"/>
      <c r="BQ109" s="29"/>
    </row>
    <row r="110" spans="1:69" ht="7.5" customHeight="1" thickBot="1">
      <c r="A110" s="19"/>
      <c r="B110" s="337"/>
      <c r="C110" s="335"/>
      <c r="D110" s="335"/>
      <c r="E110" s="335"/>
      <c r="F110" s="335"/>
      <c r="G110" s="335"/>
      <c r="H110" s="335"/>
      <c r="I110" s="335"/>
      <c r="J110" s="335"/>
      <c r="K110" s="335"/>
      <c r="L110" s="335"/>
      <c r="M110" s="335"/>
      <c r="N110" s="335"/>
      <c r="O110" s="335"/>
      <c r="P110" s="335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35"/>
      <c r="AD110" s="335"/>
      <c r="AE110" s="335"/>
      <c r="AF110" s="335"/>
      <c r="AG110" s="335"/>
      <c r="AH110" s="335"/>
      <c r="AI110" s="335"/>
      <c r="AJ110" s="335"/>
      <c r="AK110" s="335"/>
      <c r="AL110" s="335"/>
      <c r="AM110" s="335"/>
      <c r="AN110" s="335"/>
      <c r="AO110" s="335"/>
      <c r="AP110" s="335"/>
      <c r="AQ110" s="335"/>
      <c r="AR110" s="389"/>
      <c r="AS110" s="389"/>
      <c r="AT110" s="389"/>
      <c r="AU110" s="389"/>
      <c r="AV110" s="389"/>
      <c r="AW110" s="389"/>
      <c r="AX110" s="389"/>
      <c r="AY110" s="389"/>
      <c r="AZ110" s="389"/>
      <c r="BA110" s="389"/>
      <c r="BB110" s="389"/>
      <c r="BC110" s="391"/>
      <c r="BD110" s="13"/>
      <c r="BE110" s="261"/>
      <c r="BF110" s="261"/>
      <c r="BG110" s="261"/>
      <c r="BH110" s="261"/>
      <c r="BI110" s="261"/>
      <c r="BJ110" s="261"/>
      <c r="BK110" s="261"/>
      <c r="BL110" s="261"/>
      <c r="BM110" s="261"/>
      <c r="BN110" s="261"/>
      <c r="BO110" s="261"/>
      <c r="BP110" s="261"/>
      <c r="BQ110" s="29"/>
    </row>
    <row r="111" spans="1:69" ht="7.5" customHeight="1">
      <c r="A111" s="19"/>
      <c r="B111" s="308">
        <v>1</v>
      </c>
      <c r="C111" s="499"/>
      <c r="D111" s="499"/>
      <c r="E111" s="499"/>
      <c r="F111" s="499"/>
      <c r="G111" s="499"/>
      <c r="H111" s="499"/>
      <c r="I111" s="499"/>
      <c r="J111" s="499"/>
      <c r="K111" s="499"/>
      <c r="L111" s="499"/>
      <c r="M111" s="499"/>
      <c r="N111" s="499"/>
      <c r="O111" s="499"/>
      <c r="P111" s="499"/>
      <c r="Q111" s="500"/>
      <c r="R111" s="500"/>
      <c r="S111" s="500"/>
      <c r="T111" s="299">
        <f>IF(INDEX(Таблицы!AA398:AA462,Таблицы!Y430,1)="",0,INDEX(Таблицы!AA398:AA462,Таблицы!Y430,1))</f>
        <v>0</v>
      </c>
      <c r="U111" s="299"/>
      <c r="V111" s="299"/>
      <c r="W111" s="299">
        <f>IF(AK39&lt;30,T111*3,IF(AK39&lt;126,T111*2+T111*(100-AK39)/100,T111*(AK39-100)/100))</f>
        <v>0</v>
      </c>
      <c r="X111" s="299"/>
      <c r="Y111" s="299"/>
      <c r="Z111" s="299">
        <f>IF(INDEX(Таблицы!AB398:AB462,Таблицы!Y430,1)="",0,INDEX(Таблицы!AB398:AB462,Таблицы!Y430,1))*Q111</f>
        <v>0</v>
      </c>
      <c r="AA111" s="299"/>
      <c r="AB111" s="299"/>
      <c r="AC111" s="307">
        <v>8</v>
      </c>
      <c r="AD111" s="309"/>
      <c r="AE111" s="310"/>
      <c r="AF111" s="310"/>
      <c r="AG111" s="310"/>
      <c r="AH111" s="310"/>
      <c r="AI111" s="310"/>
      <c r="AJ111" s="310"/>
      <c r="AK111" s="310"/>
      <c r="AL111" s="310"/>
      <c r="AM111" s="310"/>
      <c r="AN111" s="310"/>
      <c r="AO111" s="310"/>
      <c r="AP111" s="310"/>
      <c r="AQ111" s="311"/>
      <c r="AR111" s="315"/>
      <c r="AS111" s="316"/>
      <c r="AT111" s="317"/>
      <c r="AU111" s="299">
        <f>IF(INDEX(Таблицы!AA398:AA462,Таблицы!Y437,1)="",0,INDEX(Таблицы!AA398:AA462,Таблицы!Y437,1))</f>
        <v>0</v>
      </c>
      <c r="AV111" s="299"/>
      <c r="AW111" s="299"/>
      <c r="AX111" s="301">
        <f>IF(BL39&lt;30,AU111*3,IF(BL39&lt;126,AU111*2+AU111*(100-BL39)/100,AU111*(BL39-100)/100))</f>
        <v>0</v>
      </c>
      <c r="AY111" s="302"/>
      <c r="AZ111" s="303"/>
      <c r="BA111" s="299">
        <f>IF(INDEX(Таблицы!AB398:AB462,Таблицы!Y437,1)="",0,INDEX(Таблицы!AB398:AB462,Таблицы!Y437,1))*AR111</f>
        <v>0</v>
      </c>
      <c r="BB111" s="299"/>
      <c r="BC111" s="299"/>
      <c r="BD111" s="13"/>
      <c r="BE111" s="261"/>
      <c r="BF111" s="261"/>
      <c r="BG111" s="261"/>
      <c r="BH111" s="261"/>
      <c r="BI111" s="261"/>
      <c r="BJ111" s="261"/>
      <c r="BK111" s="261"/>
      <c r="BL111" s="261"/>
      <c r="BM111" s="261"/>
      <c r="BN111" s="261"/>
      <c r="BO111" s="261"/>
      <c r="BP111" s="261"/>
      <c r="BQ111" s="29"/>
    </row>
    <row r="112" spans="1:69" ht="7.5" customHeight="1">
      <c r="A112" s="19"/>
      <c r="B112" s="332"/>
      <c r="C112" s="333"/>
      <c r="D112" s="333"/>
      <c r="E112" s="333"/>
      <c r="F112" s="333"/>
      <c r="G112" s="333"/>
      <c r="H112" s="333"/>
      <c r="I112" s="333"/>
      <c r="J112" s="333"/>
      <c r="K112" s="333"/>
      <c r="L112" s="333"/>
      <c r="M112" s="333"/>
      <c r="N112" s="333"/>
      <c r="O112" s="333"/>
      <c r="P112" s="333"/>
      <c r="Q112" s="331"/>
      <c r="R112" s="331"/>
      <c r="S112" s="331"/>
      <c r="T112" s="300"/>
      <c r="U112" s="300"/>
      <c r="V112" s="300"/>
      <c r="W112" s="300"/>
      <c r="X112" s="300"/>
      <c r="Y112" s="300"/>
      <c r="Z112" s="300"/>
      <c r="AA112" s="300"/>
      <c r="AB112" s="300"/>
      <c r="AC112" s="307"/>
      <c r="AD112" s="309"/>
      <c r="AE112" s="310"/>
      <c r="AF112" s="310"/>
      <c r="AG112" s="310"/>
      <c r="AH112" s="310"/>
      <c r="AI112" s="310"/>
      <c r="AJ112" s="310"/>
      <c r="AK112" s="310"/>
      <c r="AL112" s="310"/>
      <c r="AM112" s="310"/>
      <c r="AN112" s="310"/>
      <c r="AO112" s="310"/>
      <c r="AP112" s="310"/>
      <c r="AQ112" s="311"/>
      <c r="AR112" s="315"/>
      <c r="AS112" s="316"/>
      <c r="AT112" s="317"/>
      <c r="AU112" s="300"/>
      <c r="AV112" s="300"/>
      <c r="AW112" s="300"/>
      <c r="AX112" s="301"/>
      <c r="AY112" s="302"/>
      <c r="AZ112" s="303"/>
      <c r="BA112" s="300"/>
      <c r="BB112" s="300"/>
      <c r="BC112" s="300"/>
      <c r="BD112" s="13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29"/>
    </row>
    <row r="113" spans="1:69" ht="7.5" customHeight="1" thickBot="1">
      <c r="A113" s="19"/>
      <c r="B113" s="332"/>
      <c r="C113" s="333"/>
      <c r="D113" s="333"/>
      <c r="E113" s="333"/>
      <c r="F113" s="333"/>
      <c r="G113" s="333"/>
      <c r="H113" s="333"/>
      <c r="I113" s="333"/>
      <c r="J113" s="333"/>
      <c r="K113" s="333"/>
      <c r="L113" s="333"/>
      <c r="M113" s="333"/>
      <c r="N113" s="333"/>
      <c r="O113" s="333"/>
      <c r="P113" s="333"/>
      <c r="Q113" s="331"/>
      <c r="R113" s="331"/>
      <c r="S113" s="331"/>
      <c r="T113" s="300"/>
      <c r="U113" s="300"/>
      <c r="V113" s="300"/>
      <c r="W113" s="300"/>
      <c r="X113" s="300"/>
      <c r="Y113" s="300"/>
      <c r="Z113" s="300"/>
      <c r="AA113" s="300"/>
      <c r="AB113" s="300"/>
      <c r="AC113" s="308"/>
      <c r="AD113" s="312"/>
      <c r="AE113" s="313"/>
      <c r="AF113" s="313"/>
      <c r="AG113" s="313"/>
      <c r="AH113" s="313"/>
      <c r="AI113" s="313"/>
      <c r="AJ113" s="313"/>
      <c r="AK113" s="313"/>
      <c r="AL113" s="313"/>
      <c r="AM113" s="313"/>
      <c r="AN113" s="313"/>
      <c r="AO113" s="313"/>
      <c r="AP113" s="313"/>
      <c r="AQ113" s="314"/>
      <c r="AR113" s="318"/>
      <c r="AS113" s="319"/>
      <c r="AT113" s="320"/>
      <c r="AU113" s="300"/>
      <c r="AV113" s="300"/>
      <c r="AW113" s="300"/>
      <c r="AX113" s="304"/>
      <c r="AY113" s="305"/>
      <c r="AZ113" s="306"/>
      <c r="BA113" s="300"/>
      <c r="BB113" s="300"/>
      <c r="BC113" s="300"/>
      <c r="BD113" s="13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29"/>
    </row>
    <row r="114" spans="1:69" ht="7.5" customHeight="1">
      <c r="A114" s="19"/>
      <c r="B114" s="332">
        <v>2</v>
      </c>
      <c r="C114" s="333"/>
      <c r="D114" s="333"/>
      <c r="E114" s="333"/>
      <c r="F114" s="333"/>
      <c r="G114" s="333"/>
      <c r="H114" s="333"/>
      <c r="I114" s="333"/>
      <c r="J114" s="333"/>
      <c r="K114" s="333"/>
      <c r="L114" s="333"/>
      <c r="M114" s="333"/>
      <c r="N114" s="333"/>
      <c r="O114" s="333"/>
      <c r="P114" s="333"/>
      <c r="Q114" s="331"/>
      <c r="R114" s="331"/>
      <c r="S114" s="331"/>
      <c r="T114" s="299">
        <f>IF(INDEX(Таблицы!AA398:AA462,Таблицы!Y431,1)="",0,INDEX(Таблицы!AA398:AA462,Таблицы!Y431,1))</f>
        <v>0</v>
      </c>
      <c r="U114" s="299"/>
      <c r="V114" s="299"/>
      <c r="W114" s="300">
        <f>IF(AK39&lt;30,T114*3,IF(AK39&lt;126,T114*2+T114*(100-AK39)/100,T114*(AK39-100)/100))</f>
        <v>0</v>
      </c>
      <c r="X114" s="300"/>
      <c r="Y114" s="300"/>
      <c r="Z114" s="299">
        <f>IF(INDEX(Таблицы!AB398:AB462,Таблицы!Y431,1)="",0,INDEX(Таблицы!AB398:AB462,Таблицы!Y431,1))*Q114</f>
        <v>0</v>
      </c>
      <c r="AA114" s="299"/>
      <c r="AB114" s="299"/>
      <c r="AC114" s="273">
        <v>9</v>
      </c>
      <c r="AD114" s="272"/>
      <c r="AE114" s="272"/>
      <c r="AF114" s="272"/>
      <c r="AG114" s="272"/>
      <c r="AH114" s="272"/>
      <c r="AI114" s="272"/>
      <c r="AJ114" s="272"/>
      <c r="AK114" s="272"/>
      <c r="AL114" s="272"/>
      <c r="AM114" s="272"/>
      <c r="AN114" s="272"/>
      <c r="AO114" s="272"/>
      <c r="AP114" s="272"/>
      <c r="AQ114" s="272"/>
      <c r="AR114" s="274"/>
      <c r="AS114" s="274"/>
      <c r="AT114" s="274"/>
      <c r="AU114" s="274"/>
      <c r="AV114" s="274"/>
      <c r="AW114" s="274"/>
      <c r="AX114" s="298">
        <f>IF(BL39&lt;30,AU114*3,IF(BL39&lt;126,AU114*2+AU114*(100-BL39)/100,AU114*(BL39-100)/100))</f>
        <v>0</v>
      </c>
      <c r="AY114" s="298"/>
      <c r="AZ114" s="298"/>
      <c r="BA114" s="274"/>
      <c r="BB114" s="274"/>
      <c r="BC114" s="274"/>
      <c r="BD114" s="13"/>
      <c r="BE114" s="321" t="s">
        <v>326</v>
      </c>
      <c r="BF114" s="322"/>
      <c r="BG114" s="322"/>
      <c r="BH114" s="322"/>
      <c r="BI114" s="322"/>
      <c r="BJ114" s="322"/>
      <c r="BK114" s="322"/>
      <c r="BL114" s="322"/>
      <c r="BM114" s="322"/>
      <c r="BN114" s="322"/>
      <c r="BO114" s="322"/>
      <c r="BP114" s="323"/>
      <c r="BQ114" s="29"/>
    </row>
    <row r="115" spans="1:69" ht="7.5" customHeight="1" thickBot="1">
      <c r="A115" s="19"/>
      <c r="B115" s="332"/>
      <c r="C115" s="333"/>
      <c r="D115" s="333"/>
      <c r="E115" s="333"/>
      <c r="F115" s="333"/>
      <c r="G115" s="333"/>
      <c r="H115" s="333"/>
      <c r="I115" s="333"/>
      <c r="J115" s="333"/>
      <c r="K115" s="333"/>
      <c r="L115" s="333"/>
      <c r="M115" s="333"/>
      <c r="N115" s="333"/>
      <c r="O115" s="333"/>
      <c r="P115" s="333"/>
      <c r="Q115" s="331"/>
      <c r="R115" s="331"/>
      <c r="S115" s="331"/>
      <c r="T115" s="300"/>
      <c r="U115" s="300"/>
      <c r="V115" s="300"/>
      <c r="W115" s="300"/>
      <c r="X115" s="300"/>
      <c r="Y115" s="300"/>
      <c r="Z115" s="300"/>
      <c r="AA115" s="300"/>
      <c r="AB115" s="300"/>
      <c r="AC115" s="273"/>
      <c r="AD115" s="272"/>
      <c r="AE115" s="272"/>
      <c r="AF115" s="272"/>
      <c r="AG115" s="272"/>
      <c r="AH115" s="272"/>
      <c r="AI115" s="272"/>
      <c r="AJ115" s="272"/>
      <c r="AK115" s="272"/>
      <c r="AL115" s="272"/>
      <c r="AM115" s="272"/>
      <c r="AN115" s="272"/>
      <c r="AO115" s="272"/>
      <c r="AP115" s="272"/>
      <c r="AQ115" s="272"/>
      <c r="AR115" s="274"/>
      <c r="AS115" s="274"/>
      <c r="AT115" s="274"/>
      <c r="AU115" s="274"/>
      <c r="AV115" s="274"/>
      <c r="AW115" s="274"/>
      <c r="AX115" s="298"/>
      <c r="AY115" s="298"/>
      <c r="AZ115" s="298"/>
      <c r="BA115" s="274"/>
      <c r="BB115" s="274"/>
      <c r="BC115" s="274"/>
      <c r="BD115" s="13"/>
      <c r="BE115" s="324"/>
      <c r="BF115" s="325"/>
      <c r="BG115" s="325"/>
      <c r="BH115" s="325"/>
      <c r="BI115" s="325"/>
      <c r="BJ115" s="325"/>
      <c r="BK115" s="325"/>
      <c r="BL115" s="325"/>
      <c r="BM115" s="325"/>
      <c r="BN115" s="325"/>
      <c r="BO115" s="325"/>
      <c r="BP115" s="326"/>
      <c r="BQ115" s="29"/>
    </row>
    <row r="116" spans="1:69" ht="7.5" customHeight="1">
      <c r="A116" s="19"/>
      <c r="B116" s="332"/>
      <c r="C116" s="333"/>
      <c r="D116" s="333"/>
      <c r="E116" s="333"/>
      <c r="F116" s="333"/>
      <c r="G116" s="333"/>
      <c r="H116" s="333"/>
      <c r="I116" s="333"/>
      <c r="J116" s="333"/>
      <c r="K116" s="333"/>
      <c r="L116" s="333"/>
      <c r="M116" s="333"/>
      <c r="N116" s="333"/>
      <c r="O116" s="333"/>
      <c r="P116" s="333"/>
      <c r="Q116" s="331"/>
      <c r="R116" s="331"/>
      <c r="S116" s="331"/>
      <c r="T116" s="300"/>
      <c r="U116" s="300"/>
      <c r="V116" s="300"/>
      <c r="W116" s="300"/>
      <c r="X116" s="300"/>
      <c r="Y116" s="300"/>
      <c r="Z116" s="300"/>
      <c r="AA116" s="300"/>
      <c r="AB116" s="300"/>
      <c r="AC116" s="273">
        <v>10</v>
      </c>
      <c r="AD116" s="272"/>
      <c r="AE116" s="272"/>
      <c r="AF116" s="272"/>
      <c r="AG116" s="272"/>
      <c r="AH116" s="272"/>
      <c r="AI116" s="272"/>
      <c r="AJ116" s="272"/>
      <c r="AK116" s="272"/>
      <c r="AL116" s="272"/>
      <c r="AM116" s="272"/>
      <c r="AN116" s="272"/>
      <c r="AO116" s="272"/>
      <c r="AP116" s="272"/>
      <c r="AQ116" s="272"/>
      <c r="AR116" s="274"/>
      <c r="AS116" s="274"/>
      <c r="AT116" s="274"/>
      <c r="AU116" s="274"/>
      <c r="AV116" s="274"/>
      <c r="AW116" s="274"/>
      <c r="AX116" s="298">
        <f>IF(BL39&lt;30,AU116*3,IF(BL39&lt;126,AU116*2+AU116*(100-BL39)/100,AU116*(BL39-100)/100))</f>
        <v>0</v>
      </c>
      <c r="AY116" s="298"/>
      <c r="AZ116" s="298"/>
      <c r="BA116" s="274"/>
      <c r="BB116" s="274"/>
      <c r="BC116" s="274"/>
      <c r="BD116" s="13"/>
      <c r="BE116" s="261"/>
      <c r="BF116" s="261"/>
      <c r="BG116" s="261"/>
      <c r="BH116" s="261"/>
      <c r="BI116" s="261"/>
      <c r="BJ116" s="261"/>
      <c r="BK116" s="261"/>
      <c r="BL116" s="261"/>
      <c r="BM116" s="261"/>
      <c r="BN116" s="261"/>
      <c r="BO116" s="261"/>
      <c r="BP116" s="261"/>
      <c r="BQ116" s="29"/>
    </row>
    <row r="117" spans="1:69" ht="7.5" customHeight="1">
      <c r="A117" s="19"/>
      <c r="B117" s="332">
        <v>3</v>
      </c>
      <c r="C117" s="333"/>
      <c r="D117" s="333"/>
      <c r="E117" s="333"/>
      <c r="F117" s="333"/>
      <c r="G117" s="333"/>
      <c r="H117" s="333"/>
      <c r="I117" s="333"/>
      <c r="J117" s="333"/>
      <c r="K117" s="333"/>
      <c r="L117" s="333"/>
      <c r="M117" s="333"/>
      <c r="N117" s="333"/>
      <c r="O117" s="333"/>
      <c r="P117" s="333"/>
      <c r="Q117" s="331"/>
      <c r="R117" s="331"/>
      <c r="S117" s="331"/>
      <c r="T117" s="299">
        <f>IF(INDEX(Таблицы!AA398:AA462,Таблицы!Y432,1)="",0,INDEX(Таблицы!AA398:AA462,Таблицы!Y432,1))</f>
        <v>0</v>
      </c>
      <c r="U117" s="299"/>
      <c r="V117" s="299"/>
      <c r="W117" s="300">
        <f>IF(AK39&lt;30,T117*3,IF(AK39&lt;126,T117*2+T117*(100-AK39)/100,T117*(AK39-100)/100))</f>
        <v>0</v>
      </c>
      <c r="X117" s="300"/>
      <c r="Y117" s="300"/>
      <c r="Z117" s="299">
        <f>IF(INDEX(Таблицы!AB398:AB462,Таблицы!Y432,1)="",0,INDEX(Таблицы!AB398:AB462,Таблицы!Y432,1))*Q117</f>
        <v>0</v>
      </c>
      <c r="AA117" s="299"/>
      <c r="AB117" s="299"/>
      <c r="AC117" s="273"/>
      <c r="AD117" s="272"/>
      <c r="AE117" s="272"/>
      <c r="AF117" s="272"/>
      <c r="AG117" s="272"/>
      <c r="AH117" s="272"/>
      <c r="AI117" s="272"/>
      <c r="AJ117" s="272"/>
      <c r="AK117" s="272"/>
      <c r="AL117" s="272"/>
      <c r="AM117" s="272"/>
      <c r="AN117" s="272"/>
      <c r="AO117" s="272"/>
      <c r="AP117" s="272"/>
      <c r="AQ117" s="272"/>
      <c r="AR117" s="274"/>
      <c r="AS117" s="274"/>
      <c r="AT117" s="274"/>
      <c r="AU117" s="274"/>
      <c r="AV117" s="274"/>
      <c r="AW117" s="274"/>
      <c r="AX117" s="298"/>
      <c r="AY117" s="298"/>
      <c r="AZ117" s="298"/>
      <c r="BA117" s="274"/>
      <c r="BB117" s="274"/>
      <c r="BC117" s="274"/>
      <c r="BD117" s="13"/>
      <c r="BE117" s="261"/>
      <c r="BF117" s="261"/>
      <c r="BG117" s="261"/>
      <c r="BH117" s="261"/>
      <c r="BI117" s="261"/>
      <c r="BJ117" s="261"/>
      <c r="BK117" s="261"/>
      <c r="BL117" s="261"/>
      <c r="BM117" s="261"/>
      <c r="BN117" s="261"/>
      <c r="BO117" s="261"/>
      <c r="BP117" s="261"/>
      <c r="BQ117" s="29"/>
    </row>
    <row r="118" spans="1:69" ht="7.5" customHeight="1">
      <c r="A118" s="19"/>
      <c r="B118" s="332"/>
      <c r="C118" s="333"/>
      <c r="D118" s="333"/>
      <c r="E118" s="333"/>
      <c r="F118" s="333"/>
      <c r="G118" s="333"/>
      <c r="H118" s="333"/>
      <c r="I118" s="333"/>
      <c r="J118" s="333"/>
      <c r="K118" s="333"/>
      <c r="L118" s="333"/>
      <c r="M118" s="333"/>
      <c r="N118" s="333"/>
      <c r="O118" s="333"/>
      <c r="P118" s="333"/>
      <c r="Q118" s="331"/>
      <c r="R118" s="331"/>
      <c r="S118" s="331"/>
      <c r="T118" s="300"/>
      <c r="U118" s="300"/>
      <c r="V118" s="300"/>
      <c r="W118" s="300"/>
      <c r="X118" s="300"/>
      <c r="Y118" s="300"/>
      <c r="Z118" s="300"/>
      <c r="AA118" s="300"/>
      <c r="AB118" s="300"/>
      <c r="AC118" s="273">
        <v>11</v>
      </c>
      <c r="AD118" s="272"/>
      <c r="AE118" s="272"/>
      <c r="AF118" s="272"/>
      <c r="AG118" s="272"/>
      <c r="AH118" s="272"/>
      <c r="AI118" s="272"/>
      <c r="AJ118" s="272"/>
      <c r="AK118" s="272"/>
      <c r="AL118" s="272"/>
      <c r="AM118" s="272"/>
      <c r="AN118" s="272"/>
      <c r="AO118" s="272"/>
      <c r="AP118" s="272"/>
      <c r="AQ118" s="272"/>
      <c r="AR118" s="274"/>
      <c r="AS118" s="274"/>
      <c r="AT118" s="274"/>
      <c r="AU118" s="274"/>
      <c r="AV118" s="274"/>
      <c r="AW118" s="274"/>
      <c r="AX118" s="298">
        <f>IF(BL39&lt;30,AU118*3,IF(BL39&lt;126,AU118*2+AU118*(100-BL39)/100,AU118*(BL39-100)/100))</f>
        <v>0</v>
      </c>
      <c r="AY118" s="298"/>
      <c r="AZ118" s="298"/>
      <c r="BA118" s="274"/>
      <c r="BB118" s="274"/>
      <c r="BC118" s="274"/>
      <c r="BD118" s="13"/>
      <c r="BE118" s="261"/>
      <c r="BF118" s="261"/>
      <c r="BG118" s="261"/>
      <c r="BH118" s="261"/>
      <c r="BI118" s="261"/>
      <c r="BJ118" s="261"/>
      <c r="BK118" s="261"/>
      <c r="BL118" s="261"/>
      <c r="BM118" s="261"/>
      <c r="BN118" s="261"/>
      <c r="BO118" s="261"/>
      <c r="BP118" s="261"/>
      <c r="BQ118" s="29"/>
    </row>
    <row r="119" spans="1:69" ht="7.5" customHeight="1">
      <c r="A119" s="19"/>
      <c r="B119" s="332"/>
      <c r="C119" s="333"/>
      <c r="D119" s="333"/>
      <c r="E119" s="333"/>
      <c r="F119" s="333"/>
      <c r="G119" s="333"/>
      <c r="H119" s="333"/>
      <c r="I119" s="333"/>
      <c r="J119" s="333"/>
      <c r="K119" s="333"/>
      <c r="L119" s="333"/>
      <c r="M119" s="333"/>
      <c r="N119" s="333"/>
      <c r="O119" s="333"/>
      <c r="P119" s="333"/>
      <c r="Q119" s="331"/>
      <c r="R119" s="331"/>
      <c r="S119" s="331"/>
      <c r="T119" s="300"/>
      <c r="U119" s="300"/>
      <c r="V119" s="300"/>
      <c r="W119" s="300"/>
      <c r="X119" s="300"/>
      <c r="Y119" s="300"/>
      <c r="Z119" s="300"/>
      <c r="AA119" s="300"/>
      <c r="AB119" s="300"/>
      <c r="AC119" s="273"/>
      <c r="AD119" s="272"/>
      <c r="AE119" s="272"/>
      <c r="AF119" s="272"/>
      <c r="AG119" s="272"/>
      <c r="AH119" s="272"/>
      <c r="AI119" s="272"/>
      <c r="AJ119" s="272"/>
      <c r="AK119" s="272"/>
      <c r="AL119" s="272"/>
      <c r="AM119" s="272"/>
      <c r="AN119" s="272"/>
      <c r="AO119" s="272"/>
      <c r="AP119" s="272"/>
      <c r="AQ119" s="272"/>
      <c r="AR119" s="274"/>
      <c r="AS119" s="274"/>
      <c r="AT119" s="274"/>
      <c r="AU119" s="274"/>
      <c r="AV119" s="274"/>
      <c r="AW119" s="274"/>
      <c r="AX119" s="298"/>
      <c r="AY119" s="298"/>
      <c r="AZ119" s="298"/>
      <c r="BA119" s="274"/>
      <c r="BB119" s="274"/>
      <c r="BC119" s="274"/>
      <c r="BD119" s="13"/>
      <c r="BE119" s="261"/>
      <c r="BF119" s="261"/>
      <c r="BG119" s="261"/>
      <c r="BH119" s="261"/>
      <c r="BI119" s="261"/>
      <c r="BJ119" s="261"/>
      <c r="BK119" s="261"/>
      <c r="BL119" s="261"/>
      <c r="BM119" s="261"/>
      <c r="BN119" s="261"/>
      <c r="BO119" s="261"/>
      <c r="BP119" s="261"/>
      <c r="BQ119" s="29"/>
    </row>
    <row r="120" spans="1:69" ht="7.5" customHeight="1">
      <c r="A120" s="19"/>
      <c r="B120" s="332">
        <v>4</v>
      </c>
      <c r="C120" s="333"/>
      <c r="D120" s="333"/>
      <c r="E120" s="333"/>
      <c r="F120" s="333"/>
      <c r="G120" s="333"/>
      <c r="H120" s="333"/>
      <c r="I120" s="333"/>
      <c r="J120" s="333"/>
      <c r="K120" s="333"/>
      <c r="L120" s="333"/>
      <c r="M120" s="333"/>
      <c r="N120" s="333"/>
      <c r="O120" s="333"/>
      <c r="P120" s="333"/>
      <c r="Q120" s="331"/>
      <c r="R120" s="331"/>
      <c r="S120" s="331"/>
      <c r="T120" s="299">
        <f>IF(INDEX(Таблицы!AA398:AA462,Таблицы!Y433,1)="",0,INDEX(Таблицы!AA398:AA462,Таблицы!Y433,1))</f>
        <v>0</v>
      </c>
      <c r="U120" s="299"/>
      <c r="V120" s="299"/>
      <c r="W120" s="300">
        <f>IF(AK39&lt;30,T120*3,IF(AK39&lt;126,T120*2+T120*(100-AK39)/100,T120*(AK39-100)/100))</f>
        <v>0</v>
      </c>
      <c r="X120" s="300"/>
      <c r="Y120" s="300"/>
      <c r="Z120" s="299">
        <f>IF(INDEX(Таблицы!AB398:AB462,Таблицы!Y433,1)="",0,INDEX(Таблицы!AB398:AB462,Таблицы!Y433,1))*Q120</f>
        <v>0</v>
      </c>
      <c r="AA120" s="299"/>
      <c r="AB120" s="299"/>
      <c r="AC120" s="273">
        <v>12</v>
      </c>
      <c r="AD120" s="272"/>
      <c r="AE120" s="272"/>
      <c r="AF120" s="272"/>
      <c r="AG120" s="272"/>
      <c r="AH120" s="272"/>
      <c r="AI120" s="272"/>
      <c r="AJ120" s="272"/>
      <c r="AK120" s="272"/>
      <c r="AL120" s="272"/>
      <c r="AM120" s="272"/>
      <c r="AN120" s="272"/>
      <c r="AO120" s="272"/>
      <c r="AP120" s="272"/>
      <c r="AQ120" s="272"/>
      <c r="AR120" s="274"/>
      <c r="AS120" s="274"/>
      <c r="AT120" s="274"/>
      <c r="AU120" s="274"/>
      <c r="AV120" s="274"/>
      <c r="AW120" s="274"/>
      <c r="AX120" s="298">
        <f>IF(BL39&lt;30,AU120*3,IF(BL39&lt;126,AU120*2+AU120*(100-BL39)/100,AU120*(BL39-100)/100))</f>
        <v>0</v>
      </c>
      <c r="AY120" s="298"/>
      <c r="AZ120" s="298"/>
      <c r="BA120" s="274"/>
      <c r="BB120" s="274"/>
      <c r="BC120" s="274"/>
      <c r="BD120" s="13"/>
      <c r="BE120" s="261"/>
      <c r="BF120" s="261"/>
      <c r="BG120" s="261"/>
      <c r="BH120" s="261"/>
      <c r="BI120" s="261"/>
      <c r="BJ120" s="261"/>
      <c r="BK120" s="261"/>
      <c r="BL120" s="261"/>
      <c r="BM120" s="261"/>
      <c r="BN120" s="261"/>
      <c r="BO120" s="261"/>
      <c r="BP120" s="261"/>
      <c r="BQ120" s="29"/>
    </row>
    <row r="121" spans="1:69" ht="7.5" customHeight="1">
      <c r="A121" s="19"/>
      <c r="B121" s="332"/>
      <c r="C121" s="333"/>
      <c r="D121" s="333"/>
      <c r="E121" s="333"/>
      <c r="F121" s="333"/>
      <c r="G121" s="333"/>
      <c r="H121" s="333"/>
      <c r="I121" s="333"/>
      <c r="J121" s="333"/>
      <c r="K121" s="333"/>
      <c r="L121" s="333"/>
      <c r="M121" s="333"/>
      <c r="N121" s="333"/>
      <c r="O121" s="333"/>
      <c r="P121" s="333"/>
      <c r="Q121" s="331"/>
      <c r="R121" s="331"/>
      <c r="S121" s="331"/>
      <c r="T121" s="300"/>
      <c r="U121" s="300"/>
      <c r="V121" s="300"/>
      <c r="W121" s="300"/>
      <c r="X121" s="300"/>
      <c r="Y121" s="300"/>
      <c r="Z121" s="300"/>
      <c r="AA121" s="300"/>
      <c r="AB121" s="300"/>
      <c r="AC121" s="273"/>
      <c r="AD121" s="272"/>
      <c r="AE121" s="272"/>
      <c r="AF121" s="272"/>
      <c r="AG121" s="272"/>
      <c r="AH121" s="272"/>
      <c r="AI121" s="272"/>
      <c r="AJ121" s="272"/>
      <c r="AK121" s="272"/>
      <c r="AL121" s="272"/>
      <c r="AM121" s="272"/>
      <c r="AN121" s="272"/>
      <c r="AO121" s="272"/>
      <c r="AP121" s="272"/>
      <c r="AQ121" s="272"/>
      <c r="AR121" s="274"/>
      <c r="AS121" s="274"/>
      <c r="AT121" s="274"/>
      <c r="AU121" s="274"/>
      <c r="AV121" s="274"/>
      <c r="AW121" s="274"/>
      <c r="AX121" s="298"/>
      <c r="AY121" s="298"/>
      <c r="AZ121" s="298"/>
      <c r="BA121" s="274"/>
      <c r="BB121" s="274"/>
      <c r="BC121" s="274"/>
      <c r="BD121" s="13"/>
      <c r="BE121" s="261"/>
      <c r="BF121" s="261"/>
      <c r="BG121" s="261"/>
      <c r="BH121" s="261"/>
      <c r="BI121" s="261"/>
      <c r="BJ121" s="261"/>
      <c r="BK121" s="261"/>
      <c r="BL121" s="261"/>
      <c r="BM121" s="261"/>
      <c r="BN121" s="261"/>
      <c r="BO121" s="261"/>
      <c r="BP121" s="261"/>
      <c r="BQ121" s="29"/>
    </row>
    <row r="122" spans="1:69" ht="7.5" customHeight="1">
      <c r="A122" s="19"/>
      <c r="B122" s="332"/>
      <c r="C122" s="333"/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1"/>
      <c r="R122" s="331"/>
      <c r="S122" s="331"/>
      <c r="T122" s="300"/>
      <c r="U122" s="300"/>
      <c r="V122" s="300"/>
      <c r="W122" s="300"/>
      <c r="X122" s="300"/>
      <c r="Y122" s="300"/>
      <c r="Z122" s="300"/>
      <c r="AA122" s="300"/>
      <c r="AB122" s="300"/>
      <c r="AC122" s="273">
        <v>13</v>
      </c>
      <c r="AD122" s="272"/>
      <c r="AE122" s="272"/>
      <c r="AF122" s="272"/>
      <c r="AG122" s="272"/>
      <c r="AH122" s="272"/>
      <c r="AI122" s="272"/>
      <c r="AJ122" s="272"/>
      <c r="AK122" s="272"/>
      <c r="AL122" s="272"/>
      <c r="AM122" s="272"/>
      <c r="AN122" s="272"/>
      <c r="AO122" s="272"/>
      <c r="AP122" s="272"/>
      <c r="AQ122" s="272"/>
      <c r="AR122" s="274"/>
      <c r="AS122" s="274"/>
      <c r="AT122" s="274"/>
      <c r="AU122" s="274"/>
      <c r="AV122" s="274"/>
      <c r="AW122" s="274"/>
      <c r="AX122" s="298">
        <f>IF(BL39&lt;30,AU122*3,IF(BL39&lt;126,AU122*2+AU122*(100-BL39)/100,AU122*(BL39-100)/100))</f>
        <v>0</v>
      </c>
      <c r="AY122" s="298"/>
      <c r="AZ122" s="298"/>
      <c r="BA122" s="274"/>
      <c r="BB122" s="274"/>
      <c r="BC122" s="274"/>
      <c r="BD122" s="13"/>
      <c r="BE122" s="261"/>
      <c r="BF122" s="261"/>
      <c r="BG122" s="261"/>
      <c r="BH122" s="261"/>
      <c r="BI122" s="261"/>
      <c r="BJ122" s="261"/>
      <c r="BK122" s="261"/>
      <c r="BL122" s="261"/>
      <c r="BM122" s="261"/>
      <c r="BN122" s="261"/>
      <c r="BO122" s="261"/>
      <c r="BP122" s="261"/>
      <c r="BQ122" s="29"/>
    </row>
    <row r="123" spans="1:69" ht="7.5" customHeight="1">
      <c r="A123" s="19"/>
      <c r="B123" s="332">
        <v>5</v>
      </c>
      <c r="C123" s="333"/>
      <c r="D123" s="333"/>
      <c r="E123" s="333"/>
      <c r="F123" s="333"/>
      <c r="G123" s="333"/>
      <c r="H123" s="333"/>
      <c r="I123" s="333"/>
      <c r="J123" s="333"/>
      <c r="K123" s="333"/>
      <c r="L123" s="333"/>
      <c r="M123" s="333"/>
      <c r="N123" s="333"/>
      <c r="O123" s="333"/>
      <c r="P123" s="333"/>
      <c r="Q123" s="331"/>
      <c r="R123" s="331"/>
      <c r="S123" s="331"/>
      <c r="T123" s="299">
        <f>IF(INDEX(Таблицы!AA398:AA462,Таблицы!Y434,1)="",0,INDEX(Таблицы!AA398:AA462,Таблицы!Y434,1))</f>
        <v>0</v>
      </c>
      <c r="U123" s="299"/>
      <c r="V123" s="299"/>
      <c r="W123" s="300">
        <f>IF(AK39&lt;30,T123*3,IF(AK39&lt;126,T123*2+T123*(100-AK39)/100,T123*(AK39-100)/100))</f>
        <v>0</v>
      </c>
      <c r="X123" s="300"/>
      <c r="Y123" s="300"/>
      <c r="Z123" s="299">
        <f>IF(INDEX(Таблицы!AB398:AB462,Таблицы!Y434,1)="",0,INDEX(Таблицы!AB398:AB462,Таблицы!Y434,1))*Q123</f>
        <v>0</v>
      </c>
      <c r="AA123" s="299"/>
      <c r="AB123" s="299"/>
      <c r="AC123" s="273"/>
      <c r="AD123" s="272"/>
      <c r="AE123" s="272"/>
      <c r="AF123" s="272"/>
      <c r="AG123" s="272"/>
      <c r="AH123" s="272"/>
      <c r="AI123" s="272"/>
      <c r="AJ123" s="272"/>
      <c r="AK123" s="272"/>
      <c r="AL123" s="272"/>
      <c r="AM123" s="272"/>
      <c r="AN123" s="272"/>
      <c r="AO123" s="272"/>
      <c r="AP123" s="272"/>
      <c r="AQ123" s="272"/>
      <c r="AR123" s="274"/>
      <c r="AS123" s="274"/>
      <c r="AT123" s="274"/>
      <c r="AU123" s="274"/>
      <c r="AV123" s="274"/>
      <c r="AW123" s="274"/>
      <c r="AX123" s="298"/>
      <c r="AY123" s="298"/>
      <c r="AZ123" s="298"/>
      <c r="BA123" s="274"/>
      <c r="BB123" s="274"/>
      <c r="BC123" s="274"/>
      <c r="BD123" s="13"/>
      <c r="BE123" s="261"/>
      <c r="BF123" s="261"/>
      <c r="BG123" s="261"/>
      <c r="BH123" s="261"/>
      <c r="BI123" s="261"/>
      <c r="BJ123" s="261"/>
      <c r="BK123" s="261"/>
      <c r="BL123" s="261"/>
      <c r="BM123" s="261"/>
      <c r="BN123" s="261"/>
      <c r="BO123" s="261"/>
      <c r="BP123" s="261"/>
      <c r="BQ123" s="29"/>
    </row>
    <row r="124" spans="1:69" ht="7.5" customHeight="1">
      <c r="A124" s="19"/>
      <c r="B124" s="332"/>
      <c r="C124" s="333"/>
      <c r="D124" s="333"/>
      <c r="E124" s="333"/>
      <c r="F124" s="333"/>
      <c r="G124" s="333"/>
      <c r="H124" s="333"/>
      <c r="I124" s="333"/>
      <c r="J124" s="333"/>
      <c r="K124" s="333"/>
      <c r="L124" s="333"/>
      <c r="M124" s="333"/>
      <c r="N124" s="333"/>
      <c r="O124" s="333"/>
      <c r="P124" s="333"/>
      <c r="Q124" s="331"/>
      <c r="R124" s="331"/>
      <c r="S124" s="331"/>
      <c r="T124" s="300"/>
      <c r="U124" s="300"/>
      <c r="V124" s="300"/>
      <c r="W124" s="300"/>
      <c r="X124" s="300"/>
      <c r="Y124" s="300"/>
      <c r="Z124" s="300"/>
      <c r="AA124" s="300"/>
      <c r="AB124" s="300"/>
      <c r="AC124" s="273">
        <v>14</v>
      </c>
      <c r="AD124" s="272"/>
      <c r="AE124" s="272"/>
      <c r="AF124" s="272"/>
      <c r="AG124" s="272"/>
      <c r="AH124" s="272"/>
      <c r="AI124" s="272"/>
      <c r="AJ124" s="272"/>
      <c r="AK124" s="272"/>
      <c r="AL124" s="272"/>
      <c r="AM124" s="272"/>
      <c r="AN124" s="272"/>
      <c r="AO124" s="272"/>
      <c r="AP124" s="272"/>
      <c r="AQ124" s="272"/>
      <c r="AR124" s="274"/>
      <c r="AS124" s="274"/>
      <c r="AT124" s="274"/>
      <c r="AU124" s="274"/>
      <c r="AV124" s="274"/>
      <c r="AW124" s="274"/>
      <c r="AX124" s="298">
        <f>IF(BL39&lt;30,AU124*3,IF(BL39&lt;126,AU124*2+AU124*(100-BL39)/100,AU124*(BL39-100)/100))</f>
        <v>0</v>
      </c>
      <c r="AY124" s="298"/>
      <c r="AZ124" s="298"/>
      <c r="BA124" s="274"/>
      <c r="BB124" s="274"/>
      <c r="BC124" s="274"/>
      <c r="BD124" s="13"/>
      <c r="BE124" s="261"/>
      <c r="BF124" s="261"/>
      <c r="BG124" s="261"/>
      <c r="BH124" s="261"/>
      <c r="BI124" s="261"/>
      <c r="BJ124" s="261"/>
      <c r="BK124" s="261"/>
      <c r="BL124" s="261"/>
      <c r="BM124" s="261"/>
      <c r="BN124" s="261"/>
      <c r="BO124" s="261"/>
      <c r="BP124" s="261"/>
      <c r="BQ124" s="29"/>
    </row>
    <row r="125" spans="1:69" ht="7.5" customHeight="1">
      <c r="A125" s="19"/>
      <c r="B125" s="332"/>
      <c r="C125" s="333"/>
      <c r="D125" s="333"/>
      <c r="E125" s="333"/>
      <c r="F125" s="333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1"/>
      <c r="R125" s="331"/>
      <c r="S125" s="331"/>
      <c r="T125" s="300"/>
      <c r="U125" s="300"/>
      <c r="V125" s="300"/>
      <c r="W125" s="300"/>
      <c r="X125" s="300"/>
      <c r="Y125" s="300"/>
      <c r="Z125" s="300"/>
      <c r="AA125" s="300"/>
      <c r="AB125" s="300"/>
      <c r="AC125" s="273"/>
      <c r="AD125" s="272"/>
      <c r="AE125" s="272"/>
      <c r="AF125" s="272"/>
      <c r="AG125" s="272"/>
      <c r="AH125" s="272"/>
      <c r="AI125" s="272"/>
      <c r="AJ125" s="272"/>
      <c r="AK125" s="272"/>
      <c r="AL125" s="272"/>
      <c r="AM125" s="272"/>
      <c r="AN125" s="272"/>
      <c r="AO125" s="272"/>
      <c r="AP125" s="272"/>
      <c r="AQ125" s="272"/>
      <c r="AR125" s="274"/>
      <c r="AS125" s="274"/>
      <c r="AT125" s="274"/>
      <c r="AU125" s="274"/>
      <c r="AV125" s="274"/>
      <c r="AW125" s="274"/>
      <c r="AX125" s="298"/>
      <c r="AY125" s="298"/>
      <c r="AZ125" s="298"/>
      <c r="BA125" s="274"/>
      <c r="BB125" s="274"/>
      <c r="BC125" s="274"/>
      <c r="BD125" s="13"/>
      <c r="BE125" s="261"/>
      <c r="BF125" s="261"/>
      <c r="BG125" s="261"/>
      <c r="BH125" s="261"/>
      <c r="BI125" s="261"/>
      <c r="BJ125" s="261"/>
      <c r="BK125" s="261"/>
      <c r="BL125" s="261"/>
      <c r="BM125" s="261"/>
      <c r="BN125" s="261"/>
      <c r="BO125" s="261"/>
      <c r="BP125" s="261"/>
      <c r="BQ125" s="29"/>
    </row>
    <row r="126" spans="1:69" ht="7.5" customHeight="1">
      <c r="A126" s="19"/>
      <c r="B126" s="332">
        <v>6</v>
      </c>
      <c r="C126" s="333"/>
      <c r="D126" s="333"/>
      <c r="E126" s="333"/>
      <c r="F126" s="333"/>
      <c r="G126" s="333"/>
      <c r="H126" s="333"/>
      <c r="I126" s="333"/>
      <c r="J126" s="333"/>
      <c r="K126" s="333"/>
      <c r="L126" s="333"/>
      <c r="M126" s="333"/>
      <c r="N126" s="333"/>
      <c r="O126" s="333"/>
      <c r="P126" s="333"/>
      <c r="Q126" s="331"/>
      <c r="R126" s="331"/>
      <c r="S126" s="331"/>
      <c r="T126" s="299">
        <f>IF(INDEX(Таблицы!AA398:AA462,Таблицы!Y435,1)="",0,INDEX(Таблицы!AA398:AA462,Таблицы!Y435,1))</f>
        <v>0</v>
      </c>
      <c r="U126" s="299"/>
      <c r="V126" s="299"/>
      <c r="W126" s="300">
        <f>IF(AK39&lt;30,T126*3,IF(AK39&lt;126,T126*2+T126*(100-AK39)/100,T126*(AK39-100)/100))</f>
        <v>0</v>
      </c>
      <c r="X126" s="300"/>
      <c r="Y126" s="300"/>
      <c r="Z126" s="299">
        <f>IF(INDEX(Таблицы!AB398:AB462,Таблицы!Y435,1)="",0,INDEX(Таблицы!AB398:AB462,Таблицы!Y435,1))*Q126</f>
        <v>0</v>
      </c>
      <c r="AA126" s="299"/>
      <c r="AB126" s="299"/>
      <c r="AC126" s="273">
        <v>15</v>
      </c>
      <c r="AD126" s="272"/>
      <c r="AE126" s="272"/>
      <c r="AF126" s="272"/>
      <c r="AG126" s="272"/>
      <c r="AH126" s="272"/>
      <c r="AI126" s="272"/>
      <c r="AJ126" s="272"/>
      <c r="AK126" s="272"/>
      <c r="AL126" s="272"/>
      <c r="AM126" s="272"/>
      <c r="AN126" s="272"/>
      <c r="AO126" s="272"/>
      <c r="AP126" s="272"/>
      <c r="AQ126" s="272"/>
      <c r="AR126" s="274"/>
      <c r="AS126" s="274"/>
      <c r="AT126" s="274"/>
      <c r="AU126" s="274"/>
      <c r="AV126" s="274"/>
      <c r="AW126" s="274"/>
      <c r="AX126" s="298">
        <f>IF(BL39&lt;30,AU126*3,IF(BL39&lt;126,AU126*2+AU126*(100-BL39)/100,AU126*(BL39-100)/100))</f>
        <v>0</v>
      </c>
      <c r="AY126" s="298"/>
      <c r="AZ126" s="298"/>
      <c r="BA126" s="274"/>
      <c r="BB126" s="274"/>
      <c r="BC126" s="274"/>
      <c r="BD126" s="13"/>
      <c r="BE126" s="261"/>
      <c r="BF126" s="261"/>
      <c r="BG126" s="261"/>
      <c r="BH126" s="261"/>
      <c r="BI126" s="261"/>
      <c r="BJ126" s="261"/>
      <c r="BK126" s="261"/>
      <c r="BL126" s="261"/>
      <c r="BM126" s="261"/>
      <c r="BN126" s="261"/>
      <c r="BO126" s="261"/>
      <c r="BP126" s="261"/>
      <c r="BQ126" s="29"/>
    </row>
    <row r="127" spans="1:69" ht="7.5" customHeight="1">
      <c r="A127" s="19"/>
      <c r="B127" s="332"/>
      <c r="C127" s="333"/>
      <c r="D127" s="333"/>
      <c r="E127" s="333"/>
      <c r="F127" s="333"/>
      <c r="G127" s="333"/>
      <c r="H127" s="333"/>
      <c r="I127" s="333"/>
      <c r="J127" s="333"/>
      <c r="K127" s="333"/>
      <c r="L127" s="333"/>
      <c r="M127" s="333"/>
      <c r="N127" s="333"/>
      <c r="O127" s="333"/>
      <c r="P127" s="333"/>
      <c r="Q127" s="331"/>
      <c r="R127" s="331"/>
      <c r="S127" s="331"/>
      <c r="T127" s="300"/>
      <c r="U127" s="300"/>
      <c r="V127" s="300"/>
      <c r="W127" s="300"/>
      <c r="X127" s="300"/>
      <c r="Y127" s="300"/>
      <c r="Z127" s="300"/>
      <c r="AA127" s="300"/>
      <c r="AB127" s="300"/>
      <c r="AC127" s="273"/>
      <c r="AD127" s="272"/>
      <c r="AE127" s="272"/>
      <c r="AF127" s="272"/>
      <c r="AG127" s="272"/>
      <c r="AH127" s="272"/>
      <c r="AI127" s="272"/>
      <c r="AJ127" s="272"/>
      <c r="AK127" s="272"/>
      <c r="AL127" s="272"/>
      <c r="AM127" s="272"/>
      <c r="AN127" s="272"/>
      <c r="AO127" s="272"/>
      <c r="AP127" s="272"/>
      <c r="AQ127" s="272"/>
      <c r="AR127" s="274"/>
      <c r="AS127" s="274"/>
      <c r="AT127" s="274"/>
      <c r="AU127" s="274"/>
      <c r="AV127" s="274"/>
      <c r="AW127" s="274"/>
      <c r="AX127" s="298"/>
      <c r="AY127" s="298"/>
      <c r="AZ127" s="298"/>
      <c r="BA127" s="274"/>
      <c r="BB127" s="274"/>
      <c r="BC127" s="274"/>
      <c r="BD127" s="13"/>
      <c r="BE127" s="261"/>
      <c r="BF127" s="261"/>
      <c r="BG127" s="261"/>
      <c r="BH127" s="261"/>
      <c r="BI127" s="261"/>
      <c r="BJ127" s="261"/>
      <c r="BK127" s="261"/>
      <c r="BL127" s="261"/>
      <c r="BM127" s="261"/>
      <c r="BN127" s="261"/>
      <c r="BO127" s="261"/>
      <c r="BP127" s="261"/>
      <c r="BQ127" s="29"/>
    </row>
    <row r="128" spans="1:69" ht="7.5" customHeight="1">
      <c r="A128" s="19"/>
      <c r="B128" s="332"/>
      <c r="C128" s="333"/>
      <c r="D128" s="333"/>
      <c r="E128" s="333"/>
      <c r="F128" s="333"/>
      <c r="G128" s="333"/>
      <c r="H128" s="333"/>
      <c r="I128" s="333"/>
      <c r="J128" s="333"/>
      <c r="K128" s="333"/>
      <c r="L128" s="333"/>
      <c r="M128" s="333"/>
      <c r="N128" s="333"/>
      <c r="O128" s="333"/>
      <c r="P128" s="333"/>
      <c r="Q128" s="331"/>
      <c r="R128" s="331"/>
      <c r="S128" s="331"/>
      <c r="T128" s="300"/>
      <c r="U128" s="300"/>
      <c r="V128" s="300"/>
      <c r="W128" s="300"/>
      <c r="X128" s="300"/>
      <c r="Y128" s="300"/>
      <c r="Z128" s="300"/>
      <c r="AA128" s="300"/>
      <c r="AB128" s="300"/>
      <c r="AC128" s="273">
        <v>16</v>
      </c>
      <c r="AD128" s="272"/>
      <c r="AE128" s="272"/>
      <c r="AF128" s="272"/>
      <c r="AG128" s="272"/>
      <c r="AH128" s="272"/>
      <c r="AI128" s="272"/>
      <c r="AJ128" s="272"/>
      <c r="AK128" s="272"/>
      <c r="AL128" s="272"/>
      <c r="AM128" s="272"/>
      <c r="AN128" s="272"/>
      <c r="AO128" s="272"/>
      <c r="AP128" s="272"/>
      <c r="AQ128" s="272"/>
      <c r="AR128" s="274"/>
      <c r="AS128" s="274"/>
      <c r="AT128" s="274"/>
      <c r="AU128" s="274"/>
      <c r="AV128" s="274"/>
      <c r="AW128" s="274"/>
      <c r="AX128" s="298">
        <f>IF(BL39&lt;30,AU128*3,IF(BL39&lt;126,AU128*2+AU128*(100-BL39)/100,AU128*(BL39-100)/100))</f>
        <v>0</v>
      </c>
      <c r="AY128" s="298"/>
      <c r="AZ128" s="298"/>
      <c r="BA128" s="274"/>
      <c r="BB128" s="274"/>
      <c r="BC128" s="274"/>
      <c r="BD128" s="13"/>
      <c r="BE128" s="261"/>
      <c r="BF128" s="261"/>
      <c r="BG128" s="261"/>
      <c r="BH128" s="261"/>
      <c r="BI128" s="261"/>
      <c r="BJ128" s="261"/>
      <c r="BK128" s="261"/>
      <c r="BL128" s="261"/>
      <c r="BM128" s="261"/>
      <c r="BN128" s="261"/>
      <c r="BO128" s="261"/>
      <c r="BP128" s="261"/>
      <c r="BQ128" s="29"/>
    </row>
    <row r="129" spans="1:69" ht="7.5" customHeight="1">
      <c r="A129" s="19"/>
      <c r="B129" s="332">
        <v>7</v>
      </c>
      <c r="C129" s="333"/>
      <c r="D129" s="333"/>
      <c r="E129" s="333"/>
      <c r="F129" s="333"/>
      <c r="G129" s="333"/>
      <c r="H129" s="333"/>
      <c r="I129" s="333"/>
      <c r="J129" s="333"/>
      <c r="K129" s="333"/>
      <c r="L129" s="333"/>
      <c r="M129" s="333"/>
      <c r="N129" s="333"/>
      <c r="O129" s="333"/>
      <c r="P129" s="333"/>
      <c r="Q129" s="331"/>
      <c r="R129" s="331"/>
      <c r="S129" s="331"/>
      <c r="T129" s="299">
        <f>IF(INDEX(Таблицы!AA398:AA462,Таблицы!Y436,1)="",0,INDEX(Таблицы!AA398:AA462,Таблицы!Y436,1))</f>
        <v>0</v>
      </c>
      <c r="U129" s="299"/>
      <c r="V129" s="299"/>
      <c r="W129" s="300">
        <f>IF(AK39&lt;30,T129*3,IF(AK39&lt;126,T129*2+T129*(100-AK39)/100,T129*(AK39-100)/100))</f>
        <v>0</v>
      </c>
      <c r="X129" s="300"/>
      <c r="Y129" s="300"/>
      <c r="Z129" s="299">
        <f>IF(INDEX(Таблицы!AB398:AB462,Таблицы!Y436,1)="",0,INDEX(Таблицы!AB398:AB462,Таблицы!Y436,1))*Q129</f>
        <v>0</v>
      </c>
      <c r="AA129" s="299"/>
      <c r="AB129" s="299"/>
      <c r="AC129" s="273"/>
      <c r="AD129" s="272"/>
      <c r="AE129" s="272"/>
      <c r="AF129" s="272"/>
      <c r="AG129" s="272"/>
      <c r="AH129" s="272"/>
      <c r="AI129" s="272"/>
      <c r="AJ129" s="272"/>
      <c r="AK129" s="272"/>
      <c r="AL129" s="272"/>
      <c r="AM129" s="272"/>
      <c r="AN129" s="272"/>
      <c r="AO129" s="272"/>
      <c r="AP129" s="272"/>
      <c r="AQ129" s="272"/>
      <c r="AR129" s="274"/>
      <c r="AS129" s="274"/>
      <c r="AT129" s="274"/>
      <c r="AU129" s="274"/>
      <c r="AV129" s="274"/>
      <c r="AW129" s="274"/>
      <c r="AX129" s="298"/>
      <c r="AY129" s="298"/>
      <c r="AZ129" s="298"/>
      <c r="BA129" s="274"/>
      <c r="BB129" s="274"/>
      <c r="BC129" s="274"/>
      <c r="BD129" s="13"/>
      <c r="BE129" s="261"/>
      <c r="BF129" s="261"/>
      <c r="BG129" s="261"/>
      <c r="BH129" s="261"/>
      <c r="BI129" s="261"/>
      <c r="BJ129" s="261"/>
      <c r="BK129" s="261"/>
      <c r="BL129" s="261"/>
      <c r="BM129" s="261"/>
      <c r="BN129" s="261"/>
      <c r="BO129" s="261"/>
      <c r="BP129" s="261"/>
      <c r="BQ129" s="29"/>
    </row>
    <row r="130" spans="1:69" ht="7.5" customHeight="1">
      <c r="A130" s="19"/>
      <c r="B130" s="332"/>
      <c r="C130" s="333"/>
      <c r="D130" s="333"/>
      <c r="E130" s="333"/>
      <c r="F130" s="333"/>
      <c r="G130" s="333"/>
      <c r="H130" s="333"/>
      <c r="I130" s="333"/>
      <c r="J130" s="333"/>
      <c r="K130" s="333"/>
      <c r="L130" s="333"/>
      <c r="M130" s="333"/>
      <c r="N130" s="333"/>
      <c r="O130" s="333"/>
      <c r="P130" s="333"/>
      <c r="Q130" s="331"/>
      <c r="R130" s="331"/>
      <c r="S130" s="331"/>
      <c r="T130" s="300"/>
      <c r="U130" s="300"/>
      <c r="V130" s="300"/>
      <c r="W130" s="300"/>
      <c r="X130" s="300"/>
      <c r="Y130" s="300"/>
      <c r="Z130" s="300"/>
      <c r="AA130" s="300"/>
      <c r="AB130" s="300"/>
      <c r="AC130" s="275" t="s">
        <v>230</v>
      </c>
      <c r="AD130" s="275"/>
      <c r="AE130" s="275"/>
      <c r="AF130" s="275"/>
      <c r="AG130" s="275"/>
      <c r="AH130" s="275"/>
      <c r="AI130" s="275"/>
      <c r="AJ130" s="275"/>
      <c r="AK130" s="275"/>
      <c r="AL130" s="275"/>
      <c r="AM130" s="275"/>
      <c r="AN130" s="275"/>
      <c r="AO130" s="275"/>
      <c r="AP130" s="275"/>
      <c r="AQ130" s="275"/>
      <c r="AR130" s="275"/>
      <c r="AS130" s="275"/>
      <c r="AT130" s="276"/>
      <c r="AU130" s="279">
        <f>SUM(T111:V131)+SUM(AU111:AW129)</f>
        <v>0</v>
      </c>
      <c r="AV130" s="279"/>
      <c r="AW130" s="279"/>
      <c r="AX130" s="279">
        <f>SUM(W111:Y131)+SUM(AX111:AZ129)</f>
        <v>0</v>
      </c>
      <c r="AY130" s="279"/>
      <c r="AZ130" s="279"/>
      <c r="BA130" s="279">
        <f>SUM(Z111:AB131)+SUM(BA111:BC129)</f>
        <v>0</v>
      </c>
      <c r="BB130" s="279"/>
      <c r="BC130" s="279"/>
      <c r="BD130" s="13"/>
      <c r="BE130" s="261"/>
      <c r="BF130" s="261"/>
      <c r="BG130" s="261"/>
      <c r="BH130" s="261"/>
      <c r="BI130" s="261"/>
      <c r="BJ130" s="261"/>
      <c r="BK130" s="261"/>
      <c r="BL130" s="261"/>
      <c r="BM130" s="261"/>
      <c r="BN130" s="261"/>
      <c r="BO130" s="261"/>
      <c r="BP130" s="261"/>
      <c r="BQ130" s="29"/>
    </row>
    <row r="131" spans="1:69" ht="7.5" customHeight="1">
      <c r="A131" s="19"/>
      <c r="B131" s="332"/>
      <c r="C131" s="333"/>
      <c r="D131" s="333"/>
      <c r="E131" s="333"/>
      <c r="F131" s="333"/>
      <c r="G131" s="333"/>
      <c r="H131" s="333"/>
      <c r="I131" s="333"/>
      <c r="J131" s="333"/>
      <c r="K131" s="333"/>
      <c r="L131" s="333"/>
      <c r="M131" s="333"/>
      <c r="N131" s="333"/>
      <c r="O131" s="333"/>
      <c r="P131" s="333"/>
      <c r="Q131" s="331"/>
      <c r="R131" s="331"/>
      <c r="S131" s="331"/>
      <c r="T131" s="300"/>
      <c r="U131" s="300"/>
      <c r="V131" s="300"/>
      <c r="W131" s="300"/>
      <c r="X131" s="300"/>
      <c r="Y131" s="300"/>
      <c r="Z131" s="300"/>
      <c r="AA131" s="300"/>
      <c r="AB131" s="300"/>
      <c r="AC131" s="277"/>
      <c r="AD131" s="277"/>
      <c r="AE131" s="277"/>
      <c r="AF131" s="277"/>
      <c r="AG131" s="277"/>
      <c r="AH131" s="277"/>
      <c r="AI131" s="277"/>
      <c r="AJ131" s="277"/>
      <c r="AK131" s="277"/>
      <c r="AL131" s="277"/>
      <c r="AM131" s="277"/>
      <c r="AN131" s="277"/>
      <c r="AO131" s="277"/>
      <c r="AP131" s="277"/>
      <c r="AQ131" s="277"/>
      <c r="AR131" s="277"/>
      <c r="AS131" s="277"/>
      <c r="AT131" s="278"/>
      <c r="AU131" s="279"/>
      <c r="AV131" s="279"/>
      <c r="AW131" s="279"/>
      <c r="AX131" s="279"/>
      <c r="AY131" s="279"/>
      <c r="AZ131" s="279"/>
      <c r="BA131" s="279"/>
      <c r="BB131" s="279"/>
      <c r="BC131" s="279"/>
      <c r="BD131" s="13"/>
      <c r="BE131" s="261"/>
      <c r="BF131" s="261"/>
      <c r="BG131" s="261"/>
      <c r="BH131" s="261"/>
      <c r="BI131" s="261"/>
      <c r="BJ131" s="261"/>
      <c r="BK131" s="261"/>
      <c r="BL131" s="261"/>
      <c r="BM131" s="261"/>
      <c r="BN131" s="261"/>
      <c r="BO131" s="261"/>
      <c r="BP131" s="261"/>
      <c r="BQ131" s="29"/>
    </row>
    <row r="132" spans="1:69" ht="7.5" customHeight="1" thickBot="1">
      <c r="A132" s="32"/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0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3"/>
    </row>
  </sheetData>
  <sheetProtection password="CF7A" sheet="1" objects="1" scenarios="1"/>
  <mergeCells count="760">
    <mergeCell ref="BE110:BN111"/>
    <mergeCell ref="BO110:BP111"/>
    <mergeCell ref="BE106:BN107"/>
    <mergeCell ref="BO106:BP107"/>
    <mergeCell ref="BE108:BN109"/>
    <mergeCell ref="BO108:BP109"/>
    <mergeCell ref="BE102:BN103"/>
    <mergeCell ref="BO102:BP103"/>
    <mergeCell ref="BE104:BN105"/>
    <mergeCell ref="BO104:BP105"/>
    <mergeCell ref="V72:Y73"/>
    <mergeCell ref="Z72:Z73"/>
    <mergeCell ref="AD70:BC71"/>
    <mergeCell ref="B70:AA71"/>
    <mergeCell ref="AV72:AW74"/>
    <mergeCell ref="B72:E74"/>
    <mergeCell ref="T72:U74"/>
    <mergeCell ref="F72:Q74"/>
    <mergeCell ref="AD72:AG74"/>
    <mergeCell ref="AT72:AU74"/>
    <mergeCell ref="AA2:AE3"/>
    <mergeCell ref="AF2:AR3"/>
    <mergeCell ref="AH47:AR49"/>
    <mergeCell ref="AO77:AU78"/>
    <mergeCell ref="AD75:AD76"/>
    <mergeCell ref="AE75:AG76"/>
    <mergeCell ref="AH75:AI76"/>
    <mergeCell ref="AJ75:AQ76"/>
    <mergeCell ref="AR75:AS76"/>
    <mergeCell ref="AT75:AW76"/>
    <mergeCell ref="BO93:BO94"/>
    <mergeCell ref="BP93:BP94"/>
    <mergeCell ref="R72:S74"/>
    <mergeCell ref="AX72:BA73"/>
    <mergeCell ref="BB72:BB73"/>
    <mergeCell ref="BM85:BN86"/>
    <mergeCell ref="BO85:BO86"/>
    <mergeCell ref="BP85:BP86"/>
    <mergeCell ref="BM89:BN90"/>
    <mergeCell ref="BO89:BO90"/>
    <mergeCell ref="BH89:BH90"/>
    <mergeCell ref="BI89:BJ90"/>
    <mergeCell ref="BK89:BL90"/>
    <mergeCell ref="BK87:BK88"/>
    <mergeCell ref="BH87:BH88"/>
    <mergeCell ref="BL87:BM88"/>
    <mergeCell ref="AV79:AW81"/>
    <mergeCell ref="AF82:AJ83"/>
    <mergeCell ref="AK82:AM83"/>
    <mergeCell ref="AN82:AW83"/>
    <mergeCell ref="AD79:AF81"/>
    <mergeCell ref="AG79:AO81"/>
    <mergeCell ref="AT79:AU81"/>
    <mergeCell ref="AP79:AQ81"/>
    <mergeCell ref="AR79:AS81"/>
    <mergeCell ref="AD82:AE83"/>
    <mergeCell ref="BI75:BJ76"/>
    <mergeCell ref="BK75:BL76"/>
    <mergeCell ref="BM75:BN76"/>
    <mergeCell ref="BP89:BP90"/>
    <mergeCell ref="BO87:BP88"/>
    <mergeCell ref="BN87:BN88"/>
    <mergeCell ref="BI87:BJ88"/>
    <mergeCell ref="BL83:BM84"/>
    <mergeCell ref="BL81:BP82"/>
    <mergeCell ref="BO75:BP76"/>
    <mergeCell ref="BB60:BO61"/>
    <mergeCell ref="BB62:BO63"/>
    <mergeCell ref="BB64:BO65"/>
    <mergeCell ref="BB66:BO67"/>
    <mergeCell ref="BB47:BO49"/>
    <mergeCell ref="BB50:BO51"/>
    <mergeCell ref="BB52:BO53"/>
    <mergeCell ref="BB54:BO55"/>
    <mergeCell ref="BE128:BP129"/>
    <mergeCell ref="BE130:BP131"/>
    <mergeCell ref="BE120:BP121"/>
    <mergeCell ref="BE122:BP123"/>
    <mergeCell ref="BE124:BP125"/>
    <mergeCell ref="BE126:BP127"/>
    <mergeCell ref="BE114:BP115"/>
    <mergeCell ref="BE116:BP117"/>
    <mergeCell ref="AC128:AC129"/>
    <mergeCell ref="AD128:AQ129"/>
    <mergeCell ref="AR128:AT129"/>
    <mergeCell ref="BA126:BC127"/>
    <mergeCell ref="BA120:BC121"/>
    <mergeCell ref="AX122:AZ123"/>
    <mergeCell ref="AU128:AW129"/>
    <mergeCell ref="BA122:BC123"/>
    <mergeCell ref="AC130:AT131"/>
    <mergeCell ref="AU130:AW131"/>
    <mergeCell ref="AX130:AZ131"/>
    <mergeCell ref="BA130:BC131"/>
    <mergeCell ref="BI70:BP72"/>
    <mergeCell ref="BE73:BF74"/>
    <mergeCell ref="BG73:BH74"/>
    <mergeCell ref="BI73:BJ74"/>
    <mergeCell ref="BK73:BL74"/>
    <mergeCell ref="BM73:BN74"/>
    <mergeCell ref="BO73:BP74"/>
    <mergeCell ref="BE70:BH72"/>
    <mergeCell ref="BO91:BP92"/>
    <mergeCell ref="BH93:BH94"/>
    <mergeCell ref="BI93:BJ94"/>
    <mergeCell ref="BK93:BL94"/>
    <mergeCell ref="BL91:BM92"/>
    <mergeCell ref="BN91:BN92"/>
    <mergeCell ref="BM93:BN94"/>
    <mergeCell ref="BK91:BK92"/>
    <mergeCell ref="BI91:BJ92"/>
    <mergeCell ref="BH91:BH92"/>
    <mergeCell ref="BE75:BF76"/>
    <mergeCell ref="BG75:BH76"/>
    <mergeCell ref="BE118:BP119"/>
    <mergeCell ref="BN79:BN80"/>
    <mergeCell ref="BO79:BP80"/>
    <mergeCell ref="BH81:BH82"/>
    <mergeCell ref="BI81:BJ82"/>
    <mergeCell ref="BK81:BK82"/>
    <mergeCell ref="BE79:BG82"/>
    <mergeCell ref="BN83:BN84"/>
    <mergeCell ref="AU124:AW125"/>
    <mergeCell ref="AX124:AZ125"/>
    <mergeCell ref="BA124:BC125"/>
    <mergeCell ref="AX128:AZ129"/>
    <mergeCell ref="BA128:BC129"/>
    <mergeCell ref="AX126:AZ127"/>
    <mergeCell ref="AC126:AC127"/>
    <mergeCell ref="AD126:AQ127"/>
    <mergeCell ref="AR126:AT127"/>
    <mergeCell ref="AU126:AW127"/>
    <mergeCell ref="AR120:AT121"/>
    <mergeCell ref="AC120:AC121"/>
    <mergeCell ref="AC124:AC125"/>
    <mergeCell ref="AD124:AQ125"/>
    <mergeCell ref="AR124:AT125"/>
    <mergeCell ref="AC122:AC123"/>
    <mergeCell ref="AD122:AQ123"/>
    <mergeCell ref="AR122:AT123"/>
    <mergeCell ref="AU122:AW123"/>
    <mergeCell ref="AU118:AW119"/>
    <mergeCell ref="AX116:AZ117"/>
    <mergeCell ref="AX114:AZ115"/>
    <mergeCell ref="AU120:AW121"/>
    <mergeCell ref="AX120:AZ121"/>
    <mergeCell ref="AU116:AW117"/>
    <mergeCell ref="AX118:AZ119"/>
    <mergeCell ref="AU114:AW115"/>
    <mergeCell ref="BK79:BK80"/>
    <mergeCell ref="Z123:AB125"/>
    <mergeCell ref="AU111:AW113"/>
    <mergeCell ref="AX111:AZ113"/>
    <mergeCell ref="AR116:AT117"/>
    <mergeCell ref="Z111:AB113"/>
    <mergeCell ref="AC114:AC115"/>
    <mergeCell ref="AD114:AQ115"/>
    <mergeCell ref="AX109:AZ110"/>
    <mergeCell ref="BA118:BC119"/>
    <mergeCell ref="W129:Y131"/>
    <mergeCell ref="BK77:BL78"/>
    <mergeCell ref="BE83:BG86"/>
    <mergeCell ref="BE77:BF78"/>
    <mergeCell ref="BH83:BH84"/>
    <mergeCell ref="BI83:BJ84"/>
    <mergeCell ref="BK83:BK84"/>
    <mergeCell ref="BL79:BM80"/>
    <mergeCell ref="BA114:BC115"/>
    <mergeCell ref="BI79:BJ80"/>
    <mergeCell ref="Q126:S128"/>
    <mergeCell ref="T126:V128"/>
    <mergeCell ref="AD111:AQ113"/>
    <mergeCell ref="BA116:BC117"/>
    <mergeCell ref="T111:V113"/>
    <mergeCell ref="Z114:AB116"/>
    <mergeCell ref="BA111:BC113"/>
    <mergeCell ref="AC116:AC117"/>
    <mergeCell ref="AD116:AQ117"/>
    <mergeCell ref="AC118:AC119"/>
    <mergeCell ref="AR111:AT113"/>
    <mergeCell ref="AS103:AT104"/>
    <mergeCell ref="AM103:AR104"/>
    <mergeCell ref="AM101:AR102"/>
    <mergeCell ref="Q129:S131"/>
    <mergeCell ref="T129:V131"/>
    <mergeCell ref="B129:B131"/>
    <mergeCell ref="C129:P131"/>
    <mergeCell ref="B126:B128"/>
    <mergeCell ref="C126:P128"/>
    <mergeCell ref="BG77:BJ78"/>
    <mergeCell ref="B120:B122"/>
    <mergeCell ref="C120:P122"/>
    <mergeCell ref="B123:B125"/>
    <mergeCell ref="C123:P125"/>
    <mergeCell ref="AD120:AQ121"/>
    <mergeCell ref="AD109:AQ110"/>
    <mergeCell ref="AC111:AC113"/>
    <mergeCell ref="BO77:BP78"/>
    <mergeCell ref="BM77:BN78"/>
    <mergeCell ref="BE100:BP101"/>
    <mergeCell ref="BE95:BP96"/>
    <mergeCell ref="BE97:BP98"/>
    <mergeCell ref="BO83:BP84"/>
    <mergeCell ref="BH85:BH86"/>
    <mergeCell ref="BI85:BJ86"/>
    <mergeCell ref="BK85:BL86"/>
    <mergeCell ref="BH79:BH80"/>
    <mergeCell ref="K93:M94"/>
    <mergeCell ref="Q117:S119"/>
    <mergeCell ref="C109:P110"/>
    <mergeCell ref="B109:B110"/>
    <mergeCell ref="B117:B119"/>
    <mergeCell ref="C117:P119"/>
    <mergeCell ref="B97:I98"/>
    <mergeCell ref="B95:I96"/>
    <mergeCell ref="B93:I94"/>
    <mergeCell ref="K99:P100"/>
    <mergeCell ref="AD118:AQ119"/>
    <mergeCell ref="AR118:AT119"/>
    <mergeCell ref="AR114:AT115"/>
    <mergeCell ref="T117:V119"/>
    <mergeCell ref="W114:Y116"/>
    <mergeCell ref="T114:V116"/>
    <mergeCell ref="W117:Y119"/>
    <mergeCell ref="Z117:AB119"/>
    <mergeCell ref="AV77:AW78"/>
    <mergeCell ref="AC109:AC110"/>
    <mergeCell ref="AU103:AW104"/>
    <mergeCell ref="B107:BC108"/>
    <mergeCell ref="B101:I102"/>
    <mergeCell ref="AJ103:AK104"/>
    <mergeCell ref="K101:P102"/>
    <mergeCell ref="AA101:AB102"/>
    <mergeCell ref="X103:Z104"/>
    <mergeCell ref="B90:I92"/>
    <mergeCell ref="B99:I100"/>
    <mergeCell ref="S99:U100"/>
    <mergeCell ref="AU99:AW100"/>
    <mergeCell ref="AZ99:BA100"/>
    <mergeCell ref="AF95:AG104"/>
    <mergeCell ref="AZ103:BA104"/>
    <mergeCell ref="AU95:AW96"/>
    <mergeCell ref="V95:W96"/>
    <mergeCell ref="AH95:AI96"/>
    <mergeCell ref="AS95:AT96"/>
    <mergeCell ref="AM99:AR100"/>
    <mergeCell ref="AZ95:BA96"/>
    <mergeCell ref="S97:U98"/>
    <mergeCell ref="AZ97:BA98"/>
    <mergeCell ref="S95:U96"/>
    <mergeCell ref="AA95:AB96"/>
    <mergeCell ref="AH97:AI98"/>
    <mergeCell ref="AM95:AR96"/>
    <mergeCell ref="K95:P96"/>
    <mergeCell ref="AU97:AW98"/>
    <mergeCell ref="AM97:AR98"/>
    <mergeCell ref="AS97:AT98"/>
    <mergeCell ref="V97:W98"/>
    <mergeCell ref="X97:Z98"/>
    <mergeCell ref="AJ95:AK96"/>
    <mergeCell ref="AJ97:AK98"/>
    <mergeCell ref="AJ101:AK102"/>
    <mergeCell ref="AH103:AI104"/>
    <mergeCell ref="X95:Z96"/>
    <mergeCell ref="AC95:AE96"/>
    <mergeCell ref="BB82:BC83"/>
    <mergeCell ref="AZ82:BA83"/>
    <mergeCell ref="AX95:AY104"/>
    <mergeCell ref="AA103:AB104"/>
    <mergeCell ref="AC99:AE100"/>
    <mergeCell ref="AH99:AI100"/>
    <mergeCell ref="AH101:AI102"/>
    <mergeCell ref="AS101:AT102"/>
    <mergeCell ref="AP90:BC92"/>
    <mergeCell ref="BB84:BC85"/>
    <mergeCell ref="AZ76:BA77"/>
    <mergeCell ref="AZ78:BA79"/>
    <mergeCell ref="BB78:BC79"/>
    <mergeCell ref="AZ80:BA81"/>
    <mergeCell ref="BB76:BC77"/>
    <mergeCell ref="BB80:BC81"/>
    <mergeCell ref="N93:P94"/>
    <mergeCell ref="AC101:AE102"/>
    <mergeCell ref="AC97:AE98"/>
    <mergeCell ref="Q95:R96"/>
    <mergeCell ref="Q97:R98"/>
    <mergeCell ref="V101:W102"/>
    <mergeCell ref="AA93:AE94"/>
    <mergeCell ref="K97:P98"/>
    <mergeCell ref="AA97:AB98"/>
    <mergeCell ref="V93:Z94"/>
    <mergeCell ref="B88:BC89"/>
    <mergeCell ref="AM90:AO92"/>
    <mergeCell ref="AZ84:BA85"/>
    <mergeCell ref="AX76:AY85"/>
    <mergeCell ref="Z82:AA83"/>
    <mergeCell ref="AL77:AL78"/>
    <mergeCell ref="AM77:AN78"/>
    <mergeCell ref="B84:I85"/>
    <mergeCell ref="AD84:AK85"/>
    <mergeCell ref="T84:U85"/>
    <mergeCell ref="AS93:AW94"/>
    <mergeCell ref="AS84:AU85"/>
    <mergeCell ref="AC103:AE104"/>
    <mergeCell ref="AP93:AR94"/>
    <mergeCell ref="AN84:AP85"/>
    <mergeCell ref="AM93:AO94"/>
    <mergeCell ref="AL84:AM85"/>
    <mergeCell ref="AQ84:AR85"/>
    <mergeCell ref="AV84:AW85"/>
    <mergeCell ref="Q90:AK92"/>
    <mergeCell ref="BE91:BG94"/>
    <mergeCell ref="AU101:AW102"/>
    <mergeCell ref="L82:U83"/>
    <mergeCell ref="Q101:R102"/>
    <mergeCell ref="S101:U102"/>
    <mergeCell ref="AA99:AB100"/>
    <mergeCell ref="X84:Y85"/>
    <mergeCell ref="Z84:AA85"/>
    <mergeCell ref="AS99:AT100"/>
    <mergeCell ref="AJ99:AK100"/>
    <mergeCell ref="BA109:BC110"/>
    <mergeCell ref="BE87:BG90"/>
    <mergeCell ref="BB95:BC96"/>
    <mergeCell ref="AR109:AT110"/>
    <mergeCell ref="AU109:AW110"/>
    <mergeCell ref="BB97:BC98"/>
    <mergeCell ref="BB103:BC104"/>
    <mergeCell ref="BB99:BC100"/>
    <mergeCell ref="AZ101:BA102"/>
    <mergeCell ref="BB101:BC102"/>
    <mergeCell ref="Z109:AB110"/>
    <mergeCell ref="X99:Z100"/>
    <mergeCell ref="Q99:R100"/>
    <mergeCell ref="W109:Y110"/>
    <mergeCell ref="S103:U104"/>
    <mergeCell ref="T109:V110"/>
    <mergeCell ref="Q109:S110"/>
    <mergeCell ref="V99:W100"/>
    <mergeCell ref="X101:Z102"/>
    <mergeCell ref="V103:W104"/>
    <mergeCell ref="V76:W85"/>
    <mergeCell ref="AJ77:AK78"/>
    <mergeCell ref="AD77:AE78"/>
    <mergeCell ref="AF77:AF78"/>
    <mergeCell ref="AG77:AH78"/>
    <mergeCell ref="AI77:AI78"/>
    <mergeCell ref="Z80:AA81"/>
    <mergeCell ref="B82:C83"/>
    <mergeCell ref="T79:U81"/>
    <mergeCell ref="R79:S81"/>
    <mergeCell ref="O84:P85"/>
    <mergeCell ref="J84:K85"/>
    <mergeCell ref="L84:N85"/>
    <mergeCell ref="N79:O81"/>
    <mergeCell ref="D82:H83"/>
    <mergeCell ref="I82:K83"/>
    <mergeCell ref="P79:Q81"/>
    <mergeCell ref="AH72:AS74"/>
    <mergeCell ref="B79:D81"/>
    <mergeCell ref="E79:M81"/>
    <mergeCell ref="X80:Y81"/>
    <mergeCell ref="G77:G78"/>
    <mergeCell ref="H77:I78"/>
    <mergeCell ref="J77:J78"/>
    <mergeCell ref="K77:L78"/>
    <mergeCell ref="Z76:AA77"/>
    <mergeCell ref="B75:B76"/>
    <mergeCell ref="C75:E76"/>
    <mergeCell ref="T77:U78"/>
    <mergeCell ref="Z78:AA79"/>
    <mergeCell ref="X76:Y77"/>
    <mergeCell ref="X78:Y79"/>
    <mergeCell ref="B77:C78"/>
    <mergeCell ref="D77:D78"/>
    <mergeCell ref="E77:F78"/>
    <mergeCell ref="F75:G76"/>
    <mergeCell ref="H75:O76"/>
    <mergeCell ref="P75:Q76"/>
    <mergeCell ref="R75:U76"/>
    <mergeCell ref="AT47:BA49"/>
    <mergeCell ref="AT50:BA51"/>
    <mergeCell ref="AH62:AR67"/>
    <mergeCell ref="AH59:AR61"/>
    <mergeCell ref="AH53:AR58"/>
    <mergeCell ref="AT64:BA65"/>
    <mergeCell ref="AT66:BA67"/>
    <mergeCell ref="AT54:BA55"/>
    <mergeCell ref="V52:X53"/>
    <mergeCell ref="B62:N63"/>
    <mergeCell ref="B60:N61"/>
    <mergeCell ref="AT5:AU6"/>
    <mergeCell ref="AT62:BA63"/>
    <mergeCell ref="AT52:BA53"/>
    <mergeCell ref="AT58:BA59"/>
    <mergeCell ref="AT60:BA61"/>
    <mergeCell ref="AT33:AU34"/>
    <mergeCell ref="AX13:AY14"/>
    <mergeCell ref="BJ11:BK12"/>
    <mergeCell ref="BJ9:BK10"/>
    <mergeCell ref="BJ7:BK8"/>
    <mergeCell ref="BF13:BG14"/>
    <mergeCell ref="BF11:BG12"/>
    <mergeCell ref="BF9:BG10"/>
    <mergeCell ref="BF7:BG8"/>
    <mergeCell ref="BN7:BO8"/>
    <mergeCell ref="BN13:BO14"/>
    <mergeCell ref="BN11:BO12"/>
    <mergeCell ref="BN9:BO10"/>
    <mergeCell ref="BB56:BO57"/>
    <mergeCell ref="BB58:BO59"/>
    <mergeCell ref="AH50:AR52"/>
    <mergeCell ref="AT3:AU4"/>
    <mergeCell ref="AT56:BA57"/>
    <mergeCell ref="AC5:AJ6"/>
    <mergeCell ref="AT39:AU40"/>
    <mergeCell ref="AT41:AU42"/>
    <mergeCell ref="AT43:AU44"/>
    <mergeCell ref="AT31:AU32"/>
    <mergeCell ref="BN21:BO22"/>
    <mergeCell ref="BN19:BO20"/>
    <mergeCell ref="BN17:BO18"/>
    <mergeCell ref="AW3:AY4"/>
    <mergeCell ref="BA3:BG4"/>
    <mergeCell ref="BI3:BO4"/>
    <mergeCell ref="AW5:AY6"/>
    <mergeCell ref="BA5:BG6"/>
    <mergeCell ref="BI5:BO6"/>
    <mergeCell ref="AX11:AY12"/>
    <mergeCell ref="BN29:BO30"/>
    <mergeCell ref="BN27:BO28"/>
    <mergeCell ref="BN25:BO26"/>
    <mergeCell ref="BN23:BO24"/>
    <mergeCell ref="BN35:BO36"/>
    <mergeCell ref="BN33:BO34"/>
    <mergeCell ref="BN31:BO32"/>
    <mergeCell ref="BJ19:BK20"/>
    <mergeCell ref="BM7:BM44"/>
    <mergeCell ref="BN43:BO44"/>
    <mergeCell ref="BN41:BO42"/>
    <mergeCell ref="BN39:BO40"/>
    <mergeCell ref="BN37:BO38"/>
    <mergeCell ref="BN15:BO16"/>
    <mergeCell ref="BJ17:BK18"/>
    <mergeCell ref="BJ15:BK16"/>
    <mergeCell ref="BJ13:BK14"/>
    <mergeCell ref="BJ35:BK36"/>
    <mergeCell ref="BJ33:BK34"/>
    <mergeCell ref="BJ31:BK32"/>
    <mergeCell ref="BJ21:BK22"/>
    <mergeCell ref="BJ29:BK30"/>
    <mergeCell ref="BJ27:BK28"/>
    <mergeCell ref="BJ25:BK26"/>
    <mergeCell ref="BJ43:BK44"/>
    <mergeCell ref="BJ41:BK42"/>
    <mergeCell ref="BJ39:BK40"/>
    <mergeCell ref="BJ37:BK38"/>
    <mergeCell ref="BF21:BG22"/>
    <mergeCell ref="BF19:BG20"/>
    <mergeCell ref="BF17:BG18"/>
    <mergeCell ref="BF15:BG16"/>
    <mergeCell ref="BB29:BC30"/>
    <mergeCell ref="BF43:BG44"/>
    <mergeCell ref="BF41:BG42"/>
    <mergeCell ref="BF39:BG40"/>
    <mergeCell ref="BF37:BG38"/>
    <mergeCell ref="BF35:BG36"/>
    <mergeCell ref="BF33:BG34"/>
    <mergeCell ref="BF31:BG32"/>
    <mergeCell ref="BF29:BG30"/>
    <mergeCell ref="BB37:BC38"/>
    <mergeCell ref="BB11:BC12"/>
    <mergeCell ref="BB9:BC10"/>
    <mergeCell ref="BB7:BC8"/>
    <mergeCell ref="BB21:BC22"/>
    <mergeCell ref="BB19:BC20"/>
    <mergeCell ref="BB17:BC18"/>
    <mergeCell ref="BB15:BC16"/>
    <mergeCell ref="BB13:BC14"/>
    <mergeCell ref="BJ23:BK24"/>
    <mergeCell ref="BF27:BG28"/>
    <mergeCell ref="BF23:BG24"/>
    <mergeCell ref="BF25:BG26"/>
    <mergeCell ref="BE7:BE44"/>
    <mergeCell ref="BI7:BI44"/>
    <mergeCell ref="BB27:BC28"/>
    <mergeCell ref="AX29:AY30"/>
    <mergeCell ref="AX27:AY28"/>
    <mergeCell ref="AX43:AY44"/>
    <mergeCell ref="AX41:AY42"/>
    <mergeCell ref="AX39:AY40"/>
    <mergeCell ref="AX37:AY38"/>
    <mergeCell ref="BB43:BC44"/>
    <mergeCell ref="BB41:BC42"/>
    <mergeCell ref="BB39:BC40"/>
    <mergeCell ref="AX15:AY16"/>
    <mergeCell ref="AX35:AY36"/>
    <mergeCell ref="AX33:AY34"/>
    <mergeCell ref="AX31:AY32"/>
    <mergeCell ref="BB35:BC36"/>
    <mergeCell ref="BB33:BC34"/>
    <mergeCell ref="BB31:BC32"/>
    <mergeCell ref="BB23:BC24"/>
    <mergeCell ref="AT35:AU36"/>
    <mergeCell ref="BB25:BC26"/>
    <mergeCell ref="BA7:BA44"/>
    <mergeCell ref="AX9:AY10"/>
    <mergeCell ref="AX7:AY8"/>
    <mergeCell ref="AX25:AY26"/>
    <mergeCell ref="AX23:AY24"/>
    <mergeCell ref="AX21:AY22"/>
    <mergeCell ref="AX19:AY20"/>
    <mergeCell ref="AX17:AY18"/>
    <mergeCell ref="AW7:AW44"/>
    <mergeCell ref="AT15:AU16"/>
    <mergeCell ref="AT17:AU18"/>
    <mergeCell ref="AT19:AU20"/>
    <mergeCell ref="AT21:AU22"/>
    <mergeCell ref="AT37:AU38"/>
    <mergeCell ref="AT23:AU24"/>
    <mergeCell ref="AT25:AU26"/>
    <mergeCell ref="AT27:AU28"/>
    <mergeCell ref="AT29:AU30"/>
    <mergeCell ref="AK13:AL14"/>
    <mergeCell ref="AK11:AL12"/>
    <mergeCell ref="AT13:AU14"/>
    <mergeCell ref="AP15:AQ16"/>
    <mergeCell ref="AP13:AQ14"/>
    <mergeCell ref="AK9:AL10"/>
    <mergeCell ref="AT7:AU8"/>
    <mergeCell ref="AT9:AU10"/>
    <mergeCell ref="AT11:AU12"/>
    <mergeCell ref="AP11:AQ12"/>
    <mergeCell ref="AP9:AQ10"/>
    <mergeCell ref="AK23:AL24"/>
    <mergeCell ref="AK21:AL22"/>
    <mergeCell ref="AK19:AL20"/>
    <mergeCell ref="AK17:AL18"/>
    <mergeCell ref="AK31:AL32"/>
    <mergeCell ref="AK29:AL30"/>
    <mergeCell ref="AK27:AL28"/>
    <mergeCell ref="AK25:AL26"/>
    <mergeCell ref="AP23:AQ24"/>
    <mergeCell ref="AP21:AQ22"/>
    <mergeCell ref="AP19:AQ20"/>
    <mergeCell ref="AP17:AQ18"/>
    <mergeCell ref="N34:P35"/>
    <mergeCell ref="N38:P39"/>
    <mergeCell ref="N36:P37"/>
    <mergeCell ref="D24:F25"/>
    <mergeCell ref="D38:F39"/>
    <mergeCell ref="D36:F37"/>
    <mergeCell ref="D34:F35"/>
    <mergeCell ref="D32:F33"/>
    <mergeCell ref="D30:F31"/>
    <mergeCell ref="D28:F29"/>
    <mergeCell ref="K36:M37"/>
    <mergeCell ref="H34:J35"/>
    <mergeCell ref="H36:J37"/>
    <mergeCell ref="H24:J25"/>
    <mergeCell ref="H26:J27"/>
    <mergeCell ref="H28:J29"/>
    <mergeCell ref="H30:J31"/>
    <mergeCell ref="R24:X25"/>
    <mergeCell ref="K38:M39"/>
    <mergeCell ref="S42:U43"/>
    <mergeCell ref="O42:Q43"/>
    <mergeCell ref="V42:X43"/>
    <mergeCell ref="B42:N43"/>
    <mergeCell ref="B38:C39"/>
    <mergeCell ref="H32:J33"/>
    <mergeCell ref="D26:F27"/>
    <mergeCell ref="K34:M35"/>
    <mergeCell ref="M4:P5"/>
    <mergeCell ref="U4:X5"/>
    <mergeCell ref="B8:E9"/>
    <mergeCell ref="N8:P9"/>
    <mergeCell ref="E4:H5"/>
    <mergeCell ref="B6:D7"/>
    <mergeCell ref="N6:P7"/>
    <mergeCell ref="E6:M7"/>
    <mergeCell ref="Q4:T5"/>
    <mergeCell ref="B58:N59"/>
    <mergeCell ref="B56:N57"/>
    <mergeCell ref="R26:X27"/>
    <mergeCell ref="R30:X31"/>
    <mergeCell ref="R34:X35"/>
    <mergeCell ref="R38:X39"/>
    <mergeCell ref="R36:X37"/>
    <mergeCell ref="R32:X33"/>
    <mergeCell ref="R28:X29"/>
    <mergeCell ref="V46:X47"/>
    <mergeCell ref="AN39:AO40"/>
    <mergeCell ref="AN37:AO38"/>
    <mergeCell ref="B52:N53"/>
    <mergeCell ref="B50:N51"/>
    <mergeCell ref="S48:U49"/>
    <mergeCell ref="S50:U51"/>
    <mergeCell ref="S44:U45"/>
    <mergeCell ref="B44:N45"/>
    <mergeCell ref="B46:N47"/>
    <mergeCell ref="B48:N49"/>
    <mergeCell ref="AC7:AJ8"/>
    <mergeCell ref="AN35:AO36"/>
    <mergeCell ref="AN33:AO34"/>
    <mergeCell ref="AN31:AO32"/>
    <mergeCell ref="AN29:AO30"/>
    <mergeCell ref="AN27:AO28"/>
    <mergeCell ref="AN25:AO26"/>
    <mergeCell ref="AN23:AO24"/>
    <mergeCell ref="AN21:AO22"/>
    <mergeCell ref="AN19:AO20"/>
    <mergeCell ref="AC15:AJ16"/>
    <mergeCell ref="AC13:AJ14"/>
    <mergeCell ref="AC43:AJ44"/>
    <mergeCell ref="AC41:AJ42"/>
    <mergeCell ref="AC39:AJ40"/>
    <mergeCell ref="AC37:AJ38"/>
    <mergeCell ref="AC35:AJ36"/>
    <mergeCell ref="AC17:AJ18"/>
    <mergeCell ref="AC9:AJ10"/>
    <mergeCell ref="AC11:AJ12"/>
    <mergeCell ref="AC33:AJ34"/>
    <mergeCell ref="AC31:AJ32"/>
    <mergeCell ref="AC29:AJ30"/>
    <mergeCell ref="AC27:AJ28"/>
    <mergeCell ref="AC25:AJ26"/>
    <mergeCell ref="AC23:AJ24"/>
    <mergeCell ref="AC21:AJ22"/>
    <mergeCell ref="AC19:AJ20"/>
    <mergeCell ref="AK5:AL6"/>
    <mergeCell ref="AN7:AO8"/>
    <mergeCell ref="AK7:AL8"/>
    <mergeCell ref="AN17:AO18"/>
    <mergeCell ref="AN15:AO16"/>
    <mergeCell ref="AN13:AO14"/>
    <mergeCell ref="AN11:AO12"/>
    <mergeCell ref="AN9:AO10"/>
    <mergeCell ref="AN5:AO6"/>
    <mergeCell ref="AK15:AL16"/>
    <mergeCell ref="AP33:AQ34"/>
    <mergeCell ref="AP31:AQ32"/>
    <mergeCell ref="AP27:AQ28"/>
    <mergeCell ref="AP29:AQ30"/>
    <mergeCell ref="V50:X51"/>
    <mergeCell ref="V48:X49"/>
    <mergeCell ref="AP5:AQ6"/>
    <mergeCell ref="AP7:AQ8"/>
    <mergeCell ref="AP43:AQ44"/>
    <mergeCell ref="AP41:AQ42"/>
    <mergeCell ref="AP39:AQ40"/>
    <mergeCell ref="AP37:AQ38"/>
    <mergeCell ref="AP35:AQ36"/>
    <mergeCell ref="M20:X21"/>
    <mergeCell ref="S46:U47"/>
    <mergeCell ref="S58:U59"/>
    <mergeCell ref="S56:U57"/>
    <mergeCell ref="S54:U55"/>
    <mergeCell ref="S52:U53"/>
    <mergeCell ref="M14:R15"/>
    <mergeCell ref="S14:X15"/>
    <mergeCell ref="S16:X17"/>
    <mergeCell ref="M16:R17"/>
    <mergeCell ref="B14:F15"/>
    <mergeCell ref="G14:L15"/>
    <mergeCell ref="B16:F17"/>
    <mergeCell ref="G16:L17"/>
    <mergeCell ref="G18:L19"/>
    <mergeCell ref="G20:L21"/>
    <mergeCell ref="B18:F19"/>
    <mergeCell ref="B20:F21"/>
    <mergeCell ref="M18:X19"/>
    <mergeCell ref="B2:H3"/>
    <mergeCell ref="I2:X3"/>
    <mergeCell ref="B10:G11"/>
    <mergeCell ref="H10:X11"/>
    <mergeCell ref="Q6:X7"/>
    <mergeCell ref="F8:M9"/>
    <mergeCell ref="Q8:X9"/>
    <mergeCell ref="B4:D5"/>
    <mergeCell ref="I4:L5"/>
    <mergeCell ref="B28:C29"/>
    <mergeCell ref="B24:C25"/>
    <mergeCell ref="K24:M25"/>
    <mergeCell ref="N24:P25"/>
    <mergeCell ref="N26:P27"/>
    <mergeCell ref="B26:C27"/>
    <mergeCell ref="K26:M27"/>
    <mergeCell ref="K28:M29"/>
    <mergeCell ref="N28:P29"/>
    <mergeCell ref="N30:P31"/>
    <mergeCell ref="B32:C33"/>
    <mergeCell ref="K30:M31"/>
    <mergeCell ref="K32:M33"/>
    <mergeCell ref="N32:P33"/>
    <mergeCell ref="B30:C31"/>
    <mergeCell ref="B34:C35"/>
    <mergeCell ref="B36:C37"/>
    <mergeCell ref="S66:U67"/>
    <mergeCell ref="S62:U63"/>
    <mergeCell ref="S60:U61"/>
    <mergeCell ref="O62:Q63"/>
    <mergeCell ref="O46:Q47"/>
    <mergeCell ref="O48:Q49"/>
    <mergeCell ref="O52:Q53"/>
    <mergeCell ref="O44:Q45"/>
    <mergeCell ref="AN43:AO44"/>
    <mergeCell ref="AN41:AO42"/>
    <mergeCell ref="V66:X67"/>
    <mergeCell ref="V64:X65"/>
    <mergeCell ref="V62:X63"/>
    <mergeCell ref="V60:X61"/>
    <mergeCell ref="V44:X45"/>
    <mergeCell ref="V58:X59"/>
    <mergeCell ref="V56:X57"/>
    <mergeCell ref="V54:X55"/>
    <mergeCell ref="O58:Q59"/>
    <mergeCell ref="B66:N67"/>
    <mergeCell ref="B64:N65"/>
    <mergeCell ref="AP25:AQ26"/>
    <mergeCell ref="AK43:AL44"/>
    <mergeCell ref="AK41:AL42"/>
    <mergeCell ref="AK39:AL40"/>
    <mergeCell ref="AK37:AL38"/>
    <mergeCell ref="AK35:AL36"/>
    <mergeCell ref="AK33:AL34"/>
    <mergeCell ref="H38:J39"/>
    <mergeCell ref="O50:Q51"/>
    <mergeCell ref="O54:Q55"/>
    <mergeCell ref="O56:Q57"/>
    <mergeCell ref="B54:N55"/>
    <mergeCell ref="W111:Y113"/>
    <mergeCell ref="O60:Q61"/>
    <mergeCell ref="O64:Q65"/>
    <mergeCell ref="O66:Q67"/>
    <mergeCell ref="S64:U65"/>
    <mergeCell ref="X82:Y83"/>
    <mergeCell ref="M77:S78"/>
    <mergeCell ref="Q93:U94"/>
    <mergeCell ref="Q84:S85"/>
    <mergeCell ref="K90:P92"/>
    <mergeCell ref="Q103:R104"/>
    <mergeCell ref="B114:B116"/>
    <mergeCell ref="C114:P116"/>
    <mergeCell ref="Q114:S116"/>
    <mergeCell ref="B111:B113"/>
    <mergeCell ref="C111:P113"/>
    <mergeCell ref="Q111:S113"/>
    <mergeCell ref="B103:I104"/>
    <mergeCell ref="K103:P104"/>
    <mergeCell ref="Z129:AB131"/>
    <mergeCell ref="Q120:S122"/>
    <mergeCell ref="T120:V122"/>
    <mergeCell ref="W120:Y122"/>
    <mergeCell ref="Z120:AB122"/>
    <mergeCell ref="T123:V125"/>
    <mergeCell ref="W123:Y125"/>
    <mergeCell ref="Q123:S125"/>
    <mergeCell ref="W126:Y128"/>
    <mergeCell ref="Z126:AB128"/>
  </mergeCells>
  <conditionalFormatting sqref="R26">
    <cfRule type="expression" priority="1" dxfId="0" stopIfTrue="1">
      <formula>$R$26&lt;$S$44/2</formula>
    </cfRule>
    <cfRule type="expression" priority="2" dxfId="1" stopIfTrue="1">
      <formula>$R$26&lt;$S$44/4</formula>
    </cfRule>
  </conditionalFormatting>
  <printOptions horizontalCentered="1"/>
  <pageMargins left="0.25" right="0.25" top="0.75" bottom="0.25" header="0.25" footer="0.25"/>
  <pageSetup fitToHeight="1" fitToWidth="1" horizontalDpi="600" verticalDpi="600" orientation="landscape" scale="51" r:id="rId3"/>
  <headerFooter alignWithMargins="0">
    <oddHeader>&amp;C&amp;20FALLOUT PNP RPG - ЛИСТ ПЕРСОНАЖА - ЧАСТЬ 1</oddHead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32"/>
  <sheetViews>
    <sheetView showGridLines="0" zoomScale="92" zoomScaleNormal="92" workbookViewId="0" topLeftCell="A16">
      <selection activeCell="Y9" sqref="Y9"/>
    </sheetView>
  </sheetViews>
  <sheetFormatPr defaultColWidth="9.140625" defaultRowHeight="7.5" customHeight="1"/>
  <cols>
    <col min="1" max="5" width="2.7109375" style="10" customWidth="1"/>
    <col min="6" max="6" width="2.7109375" style="11" customWidth="1"/>
    <col min="7" max="48" width="2.7109375" style="10" customWidth="1"/>
    <col min="49" max="49" width="3.7109375" style="10" customWidth="1"/>
    <col min="50" max="51" width="2.7109375" style="10" customWidth="1"/>
    <col min="52" max="52" width="3.8515625" style="10" customWidth="1"/>
    <col min="53" max="16384" width="2.7109375" style="10" customWidth="1"/>
  </cols>
  <sheetData>
    <row r="1" spans="1:81" ht="7.5" customHeight="1" thickBot="1">
      <c r="A1" s="9"/>
      <c r="B1" s="12"/>
      <c r="C1" s="12"/>
      <c r="D1" s="12"/>
      <c r="E1" s="12"/>
      <c r="F1" s="27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8"/>
      <c r="Z1" s="34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39"/>
      <c r="AU1" s="12"/>
      <c r="AV1" s="12"/>
      <c r="AW1" s="40"/>
      <c r="AX1" s="40"/>
      <c r="AY1" s="40"/>
      <c r="AZ1" s="40"/>
      <c r="BA1" s="40"/>
      <c r="BB1" s="40"/>
      <c r="BC1" s="40"/>
      <c r="BD1" s="40"/>
      <c r="BE1" s="12"/>
      <c r="BF1" s="12"/>
      <c r="BG1" s="12"/>
      <c r="BH1" s="40"/>
      <c r="BI1" s="40"/>
      <c r="BJ1" s="12"/>
      <c r="BK1" s="12"/>
      <c r="BL1" s="12"/>
      <c r="BM1" s="12"/>
      <c r="BN1" s="12"/>
      <c r="BO1" s="12"/>
      <c r="BP1" s="12"/>
      <c r="BQ1" s="28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</row>
    <row r="2" spans="1:70" ht="7.5" customHeight="1" thickBot="1">
      <c r="A2" s="16"/>
      <c r="B2" s="484" t="s">
        <v>64</v>
      </c>
      <c r="C2" s="484"/>
      <c r="D2" s="484"/>
      <c r="E2" s="484"/>
      <c r="F2" s="484"/>
      <c r="G2" s="484"/>
      <c r="H2" s="484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29"/>
      <c r="Z2" s="19"/>
      <c r="AA2" s="189" t="s">
        <v>931</v>
      </c>
      <c r="AB2" s="190"/>
      <c r="AC2" s="190"/>
      <c r="AD2" s="190"/>
      <c r="AE2" s="190"/>
      <c r="AF2" s="193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5"/>
      <c r="AS2" s="13"/>
      <c r="AT2" s="13"/>
      <c r="AU2" s="13"/>
      <c r="AV2" s="13"/>
      <c r="AW2" s="13"/>
      <c r="AX2" s="14"/>
      <c r="AY2" s="14"/>
      <c r="AZ2" s="14"/>
      <c r="BA2" s="14"/>
      <c r="BB2" s="14"/>
      <c r="BC2" s="13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3"/>
      <c r="BQ2" s="29"/>
      <c r="BR2" s="13"/>
    </row>
    <row r="3" spans="1:70" ht="7.5" customHeight="1" thickBot="1">
      <c r="A3" s="16"/>
      <c r="B3" s="484"/>
      <c r="C3" s="484"/>
      <c r="D3" s="484"/>
      <c r="E3" s="484"/>
      <c r="F3" s="484"/>
      <c r="G3" s="484"/>
      <c r="H3" s="484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29"/>
      <c r="Z3" s="19"/>
      <c r="AA3" s="191"/>
      <c r="AB3" s="192"/>
      <c r="AC3" s="192"/>
      <c r="AD3" s="192"/>
      <c r="AE3" s="192"/>
      <c r="AF3" s="182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4"/>
      <c r="AS3" s="13"/>
      <c r="AT3" s="415" t="s">
        <v>274</v>
      </c>
      <c r="AU3" s="416"/>
      <c r="AV3" s="13"/>
      <c r="AW3" s="423" t="s">
        <v>305</v>
      </c>
      <c r="AX3" s="424"/>
      <c r="AY3" s="425"/>
      <c r="AZ3" s="14"/>
      <c r="BA3" s="423" t="s">
        <v>113</v>
      </c>
      <c r="BB3" s="424"/>
      <c r="BC3" s="424"/>
      <c r="BD3" s="424"/>
      <c r="BE3" s="424"/>
      <c r="BF3" s="424"/>
      <c r="BG3" s="425"/>
      <c r="BH3" s="14"/>
      <c r="BI3" s="423" t="s">
        <v>306</v>
      </c>
      <c r="BJ3" s="424"/>
      <c r="BK3" s="424"/>
      <c r="BL3" s="424"/>
      <c r="BM3" s="424"/>
      <c r="BN3" s="424"/>
      <c r="BO3" s="425"/>
      <c r="BP3" s="13"/>
      <c r="BQ3" s="29"/>
      <c r="BR3" s="13"/>
    </row>
    <row r="4" spans="1:70" ht="7.5" customHeight="1" thickBot="1">
      <c r="A4" s="16"/>
      <c r="B4" s="377" t="s">
        <v>65</v>
      </c>
      <c r="C4" s="377"/>
      <c r="D4" s="377"/>
      <c r="E4" s="227"/>
      <c r="F4" s="227"/>
      <c r="G4" s="227"/>
      <c r="H4" s="227"/>
      <c r="I4" s="377" t="s">
        <v>66</v>
      </c>
      <c r="J4" s="377"/>
      <c r="K4" s="377"/>
      <c r="L4" s="377"/>
      <c r="M4" s="413"/>
      <c r="N4" s="413"/>
      <c r="O4" s="413"/>
      <c r="P4" s="413"/>
      <c r="Q4" s="377" t="s">
        <v>70</v>
      </c>
      <c r="R4" s="377"/>
      <c r="S4" s="377"/>
      <c r="T4" s="377"/>
      <c r="U4" s="413"/>
      <c r="V4" s="413"/>
      <c r="W4" s="413"/>
      <c r="X4" s="413"/>
      <c r="Y4" s="29"/>
      <c r="Z4" s="19"/>
      <c r="AA4" s="15"/>
      <c r="AB4" s="15"/>
      <c r="AC4" s="15"/>
      <c r="AD4" s="15"/>
      <c r="AE4" s="15"/>
      <c r="AF4" s="15"/>
      <c r="AG4" s="15"/>
      <c r="AH4" s="15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417"/>
      <c r="AU4" s="418"/>
      <c r="AV4" s="13"/>
      <c r="AW4" s="426"/>
      <c r="AX4" s="427"/>
      <c r="AY4" s="428"/>
      <c r="AZ4" s="13"/>
      <c r="BA4" s="426"/>
      <c r="BB4" s="427"/>
      <c r="BC4" s="427"/>
      <c r="BD4" s="427"/>
      <c r="BE4" s="427"/>
      <c r="BF4" s="427"/>
      <c r="BG4" s="428"/>
      <c r="BH4" s="13"/>
      <c r="BI4" s="426"/>
      <c r="BJ4" s="427"/>
      <c r="BK4" s="427"/>
      <c r="BL4" s="427"/>
      <c r="BM4" s="427"/>
      <c r="BN4" s="427"/>
      <c r="BO4" s="428"/>
      <c r="BP4" s="13"/>
      <c r="BQ4" s="29"/>
      <c r="BR4" s="13"/>
    </row>
    <row r="5" spans="1:70" ht="7.5" customHeight="1">
      <c r="A5" s="16"/>
      <c r="B5" s="377"/>
      <c r="C5" s="377"/>
      <c r="D5" s="377"/>
      <c r="E5" s="227"/>
      <c r="F5" s="227"/>
      <c r="G5" s="227"/>
      <c r="H5" s="227"/>
      <c r="I5" s="377"/>
      <c r="J5" s="377"/>
      <c r="K5" s="377"/>
      <c r="L5" s="377"/>
      <c r="M5" s="413"/>
      <c r="N5" s="413"/>
      <c r="O5" s="413"/>
      <c r="P5" s="413"/>
      <c r="Q5" s="377"/>
      <c r="R5" s="377"/>
      <c r="S5" s="377"/>
      <c r="T5" s="377"/>
      <c r="U5" s="413"/>
      <c r="V5" s="413"/>
      <c r="W5" s="413"/>
      <c r="X5" s="413"/>
      <c r="Y5" s="29"/>
      <c r="Z5" s="19"/>
      <c r="AA5" s="17"/>
      <c r="AB5" s="17"/>
      <c r="AC5" s="419" t="s">
        <v>73</v>
      </c>
      <c r="AD5" s="420"/>
      <c r="AE5" s="420"/>
      <c r="AF5" s="420"/>
      <c r="AG5" s="420"/>
      <c r="AH5" s="420"/>
      <c r="AI5" s="420"/>
      <c r="AJ5" s="420"/>
      <c r="AK5" s="474" t="s">
        <v>222</v>
      </c>
      <c r="AL5" s="475"/>
      <c r="AM5" s="13"/>
      <c r="AN5" s="415" t="s">
        <v>74</v>
      </c>
      <c r="AO5" s="442"/>
      <c r="AP5" s="479" t="s">
        <v>8</v>
      </c>
      <c r="AQ5" s="416"/>
      <c r="AR5" s="13"/>
      <c r="AS5" s="13"/>
      <c r="AT5" s="409" t="s">
        <v>275</v>
      </c>
      <c r="AU5" s="410"/>
      <c r="AV5" s="13"/>
      <c r="AW5" s="429">
        <f>IF(M20&gt;0,M20*(B16-1),0)</f>
        <v>0</v>
      </c>
      <c r="AX5" s="429"/>
      <c r="AY5" s="429"/>
      <c r="AZ5" s="5"/>
      <c r="BA5" s="431">
        <f>SUM(AX7:AY44,BB7:BC44,BF7:BG44,BJ7:BK44,BN7:BO44)</f>
        <v>0</v>
      </c>
      <c r="BB5" s="431"/>
      <c r="BC5" s="431"/>
      <c r="BD5" s="431"/>
      <c r="BE5" s="431"/>
      <c r="BF5" s="431"/>
      <c r="BG5" s="431"/>
      <c r="BH5" s="5"/>
      <c r="BI5" s="431">
        <f>AW5-BA5</f>
        <v>0</v>
      </c>
      <c r="BJ5" s="431"/>
      <c r="BK5" s="431"/>
      <c r="BL5" s="431"/>
      <c r="BM5" s="431"/>
      <c r="BN5" s="431"/>
      <c r="BO5" s="431"/>
      <c r="BP5" s="13"/>
      <c r="BQ5" s="29"/>
      <c r="BR5" s="13"/>
    </row>
    <row r="6" spans="1:70" ht="9" customHeight="1" thickBot="1">
      <c r="A6" s="16"/>
      <c r="B6" s="377" t="s">
        <v>68</v>
      </c>
      <c r="C6" s="377"/>
      <c r="D6" s="377"/>
      <c r="E6" s="466"/>
      <c r="F6" s="466"/>
      <c r="G6" s="466"/>
      <c r="H6" s="466"/>
      <c r="I6" s="466"/>
      <c r="J6" s="466"/>
      <c r="K6" s="466"/>
      <c r="L6" s="466"/>
      <c r="M6" s="466"/>
      <c r="N6" s="377" t="s">
        <v>69</v>
      </c>
      <c r="O6" s="377"/>
      <c r="P6" s="377"/>
      <c r="Q6" s="407"/>
      <c r="R6" s="407"/>
      <c r="S6" s="407"/>
      <c r="T6" s="407"/>
      <c r="U6" s="407"/>
      <c r="V6" s="407"/>
      <c r="W6" s="407"/>
      <c r="X6" s="407"/>
      <c r="Y6" s="29"/>
      <c r="Z6" s="19"/>
      <c r="AA6" s="17"/>
      <c r="AB6" s="17"/>
      <c r="AC6" s="421"/>
      <c r="AD6" s="422"/>
      <c r="AE6" s="422"/>
      <c r="AF6" s="422"/>
      <c r="AG6" s="422"/>
      <c r="AH6" s="422"/>
      <c r="AI6" s="422"/>
      <c r="AJ6" s="422"/>
      <c r="AK6" s="476"/>
      <c r="AL6" s="477"/>
      <c r="AM6" s="13"/>
      <c r="AN6" s="443"/>
      <c r="AO6" s="444"/>
      <c r="AP6" s="480"/>
      <c r="AQ6" s="418"/>
      <c r="AR6" s="13"/>
      <c r="AS6" s="13"/>
      <c r="AT6" s="411"/>
      <c r="AU6" s="412"/>
      <c r="AV6" s="13"/>
      <c r="AW6" s="430"/>
      <c r="AX6" s="430"/>
      <c r="AY6" s="430"/>
      <c r="AZ6" s="5"/>
      <c r="BA6" s="432"/>
      <c r="BB6" s="432"/>
      <c r="BC6" s="432"/>
      <c r="BD6" s="432"/>
      <c r="BE6" s="432"/>
      <c r="BF6" s="432"/>
      <c r="BG6" s="432"/>
      <c r="BH6" s="5"/>
      <c r="BI6" s="432"/>
      <c r="BJ6" s="432"/>
      <c r="BK6" s="432"/>
      <c r="BL6" s="432"/>
      <c r="BM6" s="432"/>
      <c r="BN6" s="432"/>
      <c r="BO6" s="432"/>
      <c r="BP6" s="13"/>
      <c r="BQ6" s="29"/>
      <c r="BR6" s="13"/>
    </row>
    <row r="7" spans="1:70" ht="8.25" customHeight="1">
      <c r="A7" s="16"/>
      <c r="B7" s="377"/>
      <c r="C7" s="377"/>
      <c r="D7" s="377"/>
      <c r="E7" s="466"/>
      <c r="F7" s="466"/>
      <c r="G7" s="466"/>
      <c r="H7" s="466"/>
      <c r="I7" s="466"/>
      <c r="J7" s="466"/>
      <c r="K7" s="466"/>
      <c r="L7" s="466"/>
      <c r="M7" s="466"/>
      <c r="N7" s="377"/>
      <c r="O7" s="377"/>
      <c r="P7" s="377"/>
      <c r="Q7" s="407"/>
      <c r="R7" s="407"/>
      <c r="S7" s="407"/>
      <c r="T7" s="407"/>
      <c r="U7" s="407"/>
      <c r="V7" s="407"/>
      <c r="W7" s="407"/>
      <c r="X7" s="407"/>
      <c r="Y7" s="29"/>
      <c r="Z7" s="19"/>
      <c r="AA7" s="15"/>
      <c r="AB7" s="15"/>
      <c r="AC7" s="286" t="s">
        <v>256</v>
      </c>
      <c r="AD7" s="286"/>
      <c r="AE7" s="286"/>
      <c r="AF7" s="286"/>
      <c r="AG7" s="286"/>
      <c r="AH7" s="286"/>
      <c r="AI7" s="286"/>
      <c r="AJ7" s="286"/>
      <c r="AK7" s="478">
        <f>SUM(AN7:AQ8)+IF(Таблицы!BI35=1,Таблицы!BI32,0)+AT7</f>
        <v>25</v>
      </c>
      <c r="AL7" s="478"/>
      <c r="AM7" s="13"/>
      <c r="AN7" s="287">
        <f>IF(D36=0,"",5+(D36*4)+Таблицы!M176+Таблицы!U176)</f>
        <v>25</v>
      </c>
      <c r="AO7" s="287"/>
      <c r="AP7" s="481"/>
      <c r="AQ7" s="481"/>
      <c r="AR7" s="13"/>
      <c r="AS7" s="13"/>
      <c r="AT7" s="287">
        <f>IF(Таблицы!M176=20,SUM(AX7*2,BB7*2/2,INT(BF7*2/3),INT(BJ7*2/4),INT(BN7*2/5)),SUM(AX7,INT(BB7/2),INT(BF7/3),INT(BJ7/4),INT(BN7/5)))</f>
        <v>0</v>
      </c>
      <c r="AU7" s="287"/>
      <c r="AV7" s="13"/>
      <c r="AW7" s="433" t="s">
        <v>108</v>
      </c>
      <c r="AX7" s="414"/>
      <c r="AY7" s="414"/>
      <c r="AZ7" s="13"/>
      <c r="BA7" s="433" t="s">
        <v>109</v>
      </c>
      <c r="BB7" s="414"/>
      <c r="BC7" s="414"/>
      <c r="BD7" s="13"/>
      <c r="BE7" s="433" t="s">
        <v>110</v>
      </c>
      <c r="BF7" s="414"/>
      <c r="BG7" s="414"/>
      <c r="BH7" s="13"/>
      <c r="BI7" s="433" t="s">
        <v>111</v>
      </c>
      <c r="BJ7" s="414"/>
      <c r="BK7" s="414"/>
      <c r="BL7" s="13"/>
      <c r="BM7" s="433" t="s">
        <v>112</v>
      </c>
      <c r="BN7" s="414"/>
      <c r="BO7" s="414"/>
      <c r="BP7" s="13"/>
      <c r="BQ7" s="29"/>
      <c r="BR7" s="13"/>
    </row>
    <row r="8" spans="1:70" ht="7.5" customHeight="1">
      <c r="A8" s="16"/>
      <c r="B8" s="377" t="s">
        <v>71</v>
      </c>
      <c r="C8" s="377"/>
      <c r="D8" s="377"/>
      <c r="E8" s="377"/>
      <c r="F8" s="466"/>
      <c r="G8" s="466"/>
      <c r="H8" s="466"/>
      <c r="I8" s="466"/>
      <c r="J8" s="466"/>
      <c r="K8" s="466"/>
      <c r="L8" s="466"/>
      <c r="M8" s="466"/>
      <c r="N8" s="377" t="s">
        <v>67</v>
      </c>
      <c r="O8" s="377"/>
      <c r="P8" s="377"/>
      <c r="Q8" s="466"/>
      <c r="R8" s="466"/>
      <c r="S8" s="466"/>
      <c r="T8" s="466"/>
      <c r="U8" s="466"/>
      <c r="V8" s="466"/>
      <c r="W8" s="466"/>
      <c r="X8" s="466"/>
      <c r="Y8" s="29"/>
      <c r="Z8" s="19"/>
      <c r="AA8" s="15"/>
      <c r="AB8" s="15"/>
      <c r="AC8" s="172"/>
      <c r="AD8" s="172"/>
      <c r="AE8" s="172"/>
      <c r="AF8" s="172"/>
      <c r="AG8" s="172"/>
      <c r="AH8" s="172"/>
      <c r="AI8" s="172"/>
      <c r="AJ8" s="172"/>
      <c r="AK8" s="435"/>
      <c r="AL8" s="435"/>
      <c r="AM8" s="13"/>
      <c r="AN8" s="228"/>
      <c r="AO8" s="228"/>
      <c r="AP8" s="436"/>
      <c r="AQ8" s="436"/>
      <c r="AR8" s="15"/>
      <c r="AS8" s="15"/>
      <c r="AT8" s="228"/>
      <c r="AU8" s="228"/>
      <c r="AV8" s="13"/>
      <c r="AW8" s="434"/>
      <c r="AX8" s="413"/>
      <c r="AY8" s="413"/>
      <c r="AZ8" s="13"/>
      <c r="BA8" s="434"/>
      <c r="BB8" s="413"/>
      <c r="BC8" s="413"/>
      <c r="BD8" s="13"/>
      <c r="BE8" s="434"/>
      <c r="BF8" s="413"/>
      <c r="BG8" s="413"/>
      <c r="BH8" s="13"/>
      <c r="BI8" s="434"/>
      <c r="BJ8" s="413"/>
      <c r="BK8" s="413"/>
      <c r="BL8" s="13"/>
      <c r="BM8" s="434"/>
      <c r="BN8" s="413"/>
      <c r="BO8" s="413"/>
      <c r="BP8" s="13"/>
      <c r="BQ8" s="29"/>
      <c r="BR8" s="13"/>
    </row>
    <row r="9" spans="1:70" ht="7.5" customHeight="1">
      <c r="A9" s="16"/>
      <c r="B9" s="377"/>
      <c r="C9" s="377"/>
      <c r="D9" s="377"/>
      <c r="E9" s="377"/>
      <c r="F9" s="466"/>
      <c r="G9" s="466"/>
      <c r="H9" s="466"/>
      <c r="I9" s="466"/>
      <c r="J9" s="466"/>
      <c r="K9" s="466"/>
      <c r="L9" s="466"/>
      <c r="M9" s="466"/>
      <c r="N9" s="377"/>
      <c r="O9" s="377"/>
      <c r="P9" s="377"/>
      <c r="Q9" s="466"/>
      <c r="R9" s="466"/>
      <c r="S9" s="466"/>
      <c r="T9" s="466"/>
      <c r="U9" s="466"/>
      <c r="V9" s="466"/>
      <c r="W9" s="466"/>
      <c r="X9" s="466"/>
      <c r="Y9" s="29"/>
      <c r="Z9" s="19"/>
      <c r="AA9" s="15"/>
      <c r="AB9" s="15"/>
      <c r="AC9" s="172" t="s">
        <v>255</v>
      </c>
      <c r="AD9" s="172"/>
      <c r="AE9" s="172"/>
      <c r="AF9" s="172"/>
      <c r="AG9" s="172"/>
      <c r="AH9" s="172"/>
      <c r="AI9" s="172"/>
      <c r="AJ9" s="172"/>
      <c r="AK9" s="435">
        <f>SUM(AN9:AQ10)+IF(Таблицы!BI35=2,Таблицы!BI32,0)+AT9</f>
        <v>10</v>
      </c>
      <c r="AL9" s="435"/>
      <c r="AM9" s="13"/>
      <c r="AN9" s="228">
        <f>IF(D36=0,"",(D36*2)+Таблицы!M177+Таблицы!U177)</f>
        <v>10</v>
      </c>
      <c r="AO9" s="228"/>
      <c r="AP9" s="436"/>
      <c r="AQ9" s="436"/>
      <c r="AR9" s="13"/>
      <c r="AS9" s="13"/>
      <c r="AT9" s="287">
        <f>IF(Таблицы!M177=20,SUM(AX9*2,BB9*2/2,INT(BF9*2/3),INT(BJ9*2/4),INT(BN9*2/5)),SUM(AX9,INT(BB9/2),INT(BF9/3),INT(BJ9/4),INT(BN9/5)))</f>
        <v>0</v>
      </c>
      <c r="AU9" s="287"/>
      <c r="AV9" s="13"/>
      <c r="AW9" s="434"/>
      <c r="AX9" s="413"/>
      <c r="AY9" s="413"/>
      <c r="AZ9" s="13"/>
      <c r="BA9" s="434"/>
      <c r="BB9" s="413"/>
      <c r="BC9" s="413"/>
      <c r="BD9" s="13"/>
      <c r="BE9" s="434"/>
      <c r="BF9" s="413"/>
      <c r="BG9" s="413"/>
      <c r="BH9" s="13"/>
      <c r="BI9" s="434"/>
      <c r="BJ9" s="413"/>
      <c r="BK9" s="413"/>
      <c r="BL9" s="13"/>
      <c r="BM9" s="434"/>
      <c r="BN9" s="413"/>
      <c r="BO9" s="413"/>
      <c r="BP9" s="13"/>
      <c r="BQ9" s="29"/>
      <c r="BR9" s="13"/>
    </row>
    <row r="10" spans="1:70" ht="7.5" customHeight="1">
      <c r="A10" s="16"/>
      <c r="B10" s="377" t="s">
        <v>221</v>
      </c>
      <c r="C10" s="377"/>
      <c r="D10" s="377"/>
      <c r="E10" s="377"/>
      <c r="F10" s="377"/>
      <c r="G10" s="377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29"/>
      <c r="Z10" s="19"/>
      <c r="AA10" s="15"/>
      <c r="AB10" s="15"/>
      <c r="AC10" s="172"/>
      <c r="AD10" s="172"/>
      <c r="AE10" s="172"/>
      <c r="AF10" s="172"/>
      <c r="AG10" s="172"/>
      <c r="AH10" s="172"/>
      <c r="AI10" s="172"/>
      <c r="AJ10" s="172"/>
      <c r="AK10" s="435"/>
      <c r="AL10" s="435"/>
      <c r="AM10" s="13"/>
      <c r="AN10" s="228"/>
      <c r="AO10" s="228"/>
      <c r="AP10" s="436"/>
      <c r="AQ10" s="436"/>
      <c r="AR10" s="15"/>
      <c r="AS10" s="13"/>
      <c r="AT10" s="228"/>
      <c r="AU10" s="228"/>
      <c r="AV10" s="13"/>
      <c r="AW10" s="434"/>
      <c r="AX10" s="413"/>
      <c r="AY10" s="413"/>
      <c r="AZ10" s="13"/>
      <c r="BA10" s="434"/>
      <c r="BB10" s="413"/>
      <c r="BC10" s="413"/>
      <c r="BD10" s="13"/>
      <c r="BE10" s="434"/>
      <c r="BF10" s="413"/>
      <c r="BG10" s="413"/>
      <c r="BH10" s="13"/>
      <c r="BI10" s="434"/>
      <c r="BJ10" s="413"/>
      <c r="BK10" s="413"/>
      <c r="BL10" s="13"/>
      <c r="BM10" s="434"/>
      <c r="BN10" s="413"/>
      <c r="BO10" s="413"/>
      <c r="BP10" s="13"/>
      <c r="BQ10" s="29"/>
      <c r="BR10" s="13"/>
    </row>
    <row r="11" spans="1:70" ht="7.5" customHeight="1">
      <c r="A11" s="16"/>
      <c r="B11" s="377"/>
      <c r="C11" s="377"/>
      <c r="D11" s="377"/>
      <c r="E11" s="377"/>
      <c r="F11" s="377"/>
      <c r="G11" s="377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29"/>
      <c r="Z11" s="19"/>
      <c r="AA11" s="15"/>
      <c r="AB11" s="15"/>
      <c r="AC11" s="172" t="s">
        <v>77</v>
      </c>
      <c r="AD11" s="172"/>
      <c r="AE11" s="172"/>
      <c r="AF11" s="172"/>
      <c r="AG11" s="172"/>
      <c r="AH11" s="172"/>
      <c r="AI11" s="172"/>
      <c r="AJ11" s="172"/>
      <c r="AK11" s="435">
        <f>SUM(AN11:AQ12)+IF(Таблицы!BI35=3,Таблицы!BI32,0)+AT11</f>
        <v>10</v>
      </c>
      <c r="AL11" s="435"/>
      <c r="AM11" s="13"/>
      <c r="AN11" s="228">
        <f>IF(D36=0,"",(D36*2)+Таблицы!M178+Таблицы!U178)</f>
        <v>10</v>
      </c>
      <c r="AO11" s="228"/>
      <c r="AP11" s="436"/>
      <c r="AQ11" s="436"/>
      <c r="AR11" s="13"/>
      <c r="AS11" s="13"/>
      <c r="AT11" s="287">
        <f>IF(Таблицы!M178=20,SUM(AX11*2,BB11*2/2,INT(BF11*2/3),INT(BJ11*2/4),INT(BN11*2/5)),SUM(AX11,INT(BB11/2),INT(BF11/3),INT(BJ11/4),INT(BN11/5)))</f>
        <v>0</v>
      </c>
      <c r="AU11" s="287"/>
      <c r="AV11" s="13"/>
      <c r="AW11" s="434"/>
      <c r="AX11" s="413"/>
      <c r="AY11" s="413"/>
      <c r="AZ11" s="13"/>
      <c r="BA11" s="434"/>
      <c r="BB11" s="413"/>
      <c r="BC11" s="413"/>
      <c r="BD11" s="13"/>
      <c r="BE11" s="434"/>
      <c r="BF11" s="413"/>
      <c r="BG11" s="413"/>
      <c r="BH11" s="13"/>
      <c r="BI11" s="434"/>
      <c r="BJ11" s="413"/>
      <c r="BK11" s="413"/>
      <c r="BL11" s="13"/>
      <c r="BM11" s="434"/>
      <c r="BN11" s="413"/>
      <c r="BO11" s="413"/>
      <c r="BP11" s="13"/>
      <c r="BQ11" s="29"/>
      <c r="BR11" s="13"/>
    </row>
    <row r="12" spans="1:70" ht="7.5" customHeight="1">
      <c r="A12" s="69"/>
      <c r="B12" s="46"/>
      <c r="C12" s="46"/>
      <c r="D12" s="46"/>
      <c r="E12" s="46"/>
      <c r="F12" s="68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70"/>
      <c r="Z12" s="41"/>
      <c r="AA12" s="15"/>
      <c r="AB12" s="15"/>
      <c r="AC12" s="172"/>
      <c r="AD12" s="172"/>
      <c r="AE12" s="172"/>
      <c r="AF12" s="172"/>
      <c r="AG12" s="172"/>
      <c r="AH12" s="172"/>
      <c r="AI12" s="172"/>
      <c r="AJ12" s="172"/>
      <c r="AK12" s="435"/>
      <c r="AL12" s="435"/>
      <c r="AM12" s="13"/>
      <c r="AN12" s="228"/>
      <c r="AO12" s="228"/>
      <c r="AP12" s="436"/>
      <c r="AQ12" s="436"/>
      <c r="AR12" s="15"/>
      <c r="AS12" s="13"/>
      <c r="AT12" s="228"/>
      <c r="AU12" s="228"/>
      <c r="AV12" s="13"/>
      <c r="AW12" s="434"/>
      <c r="AX12" s="413"/>
      <c r="AY12" s="413"/>
      <c r="AZ12" s="13"/>
      <c r="BA12" s="434"/>
      <c r="BB12" s="413"/>
      <c r="BC12" s="413"/>
      <c r="BD12" s="13"/>
      <c r="BE12" s="434"/>
      <c r="BF12" s="413"/>
      <c r="BG12" s="413"/>
      <c r="BH12" s="13"/>
      <c r="BI12" s="434"/>
      <c r="BJ12" s="413"/>
      <c r="BK12" s="413"/>
      <c r="BL12" s="13"/>
      <c r="BM12" s="434"/>
      <c r="BN12" s="413"/>
      <c r="BO12" s="413"/>
      <c r="BP12" s="13"/>
      <c r="BQ12" s="29"/>
      <c r="BR12" s="13"/>
    </row>
    <row r="13" spans="1:70" ht="7.5" customHeight="1" thickBot="1">
      <c r="A13" s="16"/>
      <c r="B13" s="13"/>
      <c r="C13" s="13"/>
      <c r="D13" s="13"/>
      <c r="E13" s="13"/>
      <c r="F13" s="35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36"/>
      <c r="Z13" s="41"/>
      <c r="AA13" s="15"/>
      <c r="AB13" s="15"/>
      <c r="AC13" s="172" t="s">
        <v>76</v>
      </c>
      <c r="AD13" s="172"/>
      <c r="AE13" s="172"/>
      <c r="AF13" s="172"/>
      <c r="AG13" s="172"/>
      <c r="AH13" s="172"/>
      <c r="AI13" s="172"/>
      <c r="AJ13" s="172"/>
      <c r="AK13" s="435">
        <f>SUM(AN13:AQ14)+IF(Таблицы!BI35=4,Таблицы!BI32,0)+AT13</f>
        <v>50</v>
      </c>
      <c r="AL13" s="435"/>
      <c r="AM13" s="13"/>
      <c r="AN13" s="228">
        <f>IF(D36=0,"",30+(2*SUM(D36,D26)+Таблицы!M179+Таблицы!U179))</f>
        <v>50</v>
      </c>
      <c r="AO13" s="228"/>
      <c r="AP13" s="436"/>
      <c r="AQ13" s="436"/>
      <c r="AR13" s="13"/>
      <c r="AS13" s="13"/>
      <c r="AT13" s="287">
        <f>IF(Таблицы!M179=20,SUM(AX13*2,BB13*2/2,INT(BF13*2/3),INT(BJ13*2/4),INT(BN13*2/5)),SUM(AX13,INT(BB13/2),INT(BF13/3),INT(BJ13/4),INT(BN13/5)))</f>
        <v>0</v>
      </c>
      <c r="AU13" s="287"/>
      <c r="AV13" s="13"/>
      <c r="AW13" s="434"/>
      <c r="AX13" s="413"/>
      <c r="AY13" s="413"/>
      <c r="AZ13" s="13"/>
      <c r="BA13" s="434"/>
      <c r="BB13" s="413"/>
      <c r="BC13" s="413"/>
      <c r="BD13" s="13"/>
      <c r="BE13" s="434"/>
      <c r="BF13" s="413"/>
      <c r="BG13" s="413"/>
      <c r="BH13" s="13"/>
      <c r="BI13" s="434"/>
      <c r="BJ13" s="413"/>
      <c r="BK13" s="413"/>
      <c r="BL13" s="13"/>
      <c r="BM13" s="434"/>
      <c r="BN13" s="413"/>
      <c r="BO13" s="413"/>
      <c r="BP13" s="13"/>
      <c r="BQ13" s="29"/>
      <c r="BR13" s="13"/>
    </row>
    <row r="14" spans="1:70" ht="7.5" customHeight="1">
      <c r="A14" s="16"/>
      <c r="B14" s="448" t="s">
        <v>58</v>
      </c>
      <c r="C14" s="449"/>
      <c r="D14" s="449"/>
      <c r="E14" s="449"/>
      <c r="F14" s="449"/>
      <c r="G14" s="449" t="s">
        <v>59</v>
      </c>
      <c r="H14" s="449"/>
      <c r="I14" s="449"/>
      <c r="J14" s="449"/>
      <c r="K14" s="449"/>
      <c r="L14" s="449"/>
      <c r="M14" s="449" t="s">
        <v>60</v>
      </c>
      <c r="N14" s="449"/>
      <c r="O14" s="449"/>
      <c r="P14" s="449"/>
      <c r="Q14" s="449"/>
      <c r="R14" s="449"/>
      <c r="S14" s="449" t="s">
        <v>61</v>
      </c>
      <c r="T14" s="449"/>
      <c r="U14" s="449"/>
      <c r="V14" s="449"/>
      <c r="W14" s="449"/>
      <c r="X14" s="450"/>
      <c r="Y14" s="29"/>
      <c r="Z14" s="19"/>
      <c r="AA14" s="15"/>
      <c r="AB14" s="15"/>
      <c r="AC14" s="172"/>
      <c r="AD14" s="172"/>
      <c r="AE14" s="172"/>
      <c r="AF14" s="172"/>
      <c r="AG14" s="172"/>
      <c r="AH14" s="172"/>
      <c r="AI14" s="172"/>
      <c r="AJ14" s="172"/>
      <c r="AK14" s="435"/>
      <c r="AL14" s="435"/>
      <c r="AM14" s="13"/>
      <c r="AN14" s="228"/>
      <c r="AO14" s="228"/>
      <c r="AP14" s="436"/>
      <c r="AQ14" s="436"/>
      <c r="AR14" s="15"/>
      <c r="AS14" s="13"/>
      <c r="AT14" s="228"/>
      <c r="AU14" s="228"/>
      <c r="AV14" s="13"/>
      <c r="AW14" s="434"/>
      <c r="AX14" s="413"/>
      <c r="AY14" s="413"/>
      <c r="AZ14" s="13"/>
      <c r="BA14" s="434"/>
      <c r="BB14" s="413"/>
      <c r="BC14" s="413"/>
      <c r="BD14" s="13"/>
      <c r="BE14" s="434"/>
      <c r="BF14" s="413"/>
      <c r="BG14" s="413"/>
      <c r="BH14" s="13"/>
      <c r="BI14" s="434"/>
      <c r="BJ14" s="413"/>
      <c r="BK14" s="413"/>
      <c r="BL14" s="13"/>
      <c r="BM14" s="434"/>
      <c r="BN14" s="413"/>
      <c r="BO14" s="413"/>
      <c r="BP14" s="13"/>
      <c r="BQ14" s="29"/>
      <c r="BR14" s="13"/>
    </row>
    <row r="15" spans="1:70" ht="7.5" customHeight="1" thickBot="1">
      <c r="A15" s="16"/>
      <c r="B15" s="451"/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3"/>
      <c r="Y15" s="29"/>
      <c r="Z15" s="19"/>
      <c r="AA15" s="15"/>
      <c r="AB15" s="15"/>
      <c r="AC15" s="172" t="s">
        <v>78</v>
      </c>
      <c r="AD15" s="172"/>
      <c r="AE15" s="172"/>
      <c r="AF15" s="172"/>
      <c r="AG15" s="172"/>
      <c r="AH15" s="172"/>
      <c r="AI15" s="172"/>
      <c r="AJ15" s="172"/>
      <c r="AK15" s="435">
        <f>SUM(AN15:AQ16)+IF(Таблицы!BI35=5,Таблицы!BI32,0)+AT15</f>
        <v>40</v>
      </c>
      <c r="AL15" s="435"/>
      <c r="AM15" s="13"/>
      <c r="AN15" s="228">
        <f>IF(D36=0,"",20+(2*SUM(D36,D26)+Таблицы!M180+Таблицы!U180))</f>
        <v>40</v>
      </c>
      <c r="AO15" s="228"/>
      <c r="AP15" s="436"/>
      <c r="AQ15" s="436"/>
      <c r="AR15" s="13"/>
      <c r="AS15" s="13"/>
      <c r="AT15" s="287">
        <f>IF(Таблицы!M180=20,SUM(AX15*2,BB15*2/2,INT(BF15*2/3),INT(BJ15*2/4),INT(BN15*2/5)),SUM(AX15,INT(BB15/2),INT(BF15/3),INT(BJ15/4),INT(BN15/5)))</f>
        <v>0</v>
      </c>
      <c r="AU15" s="287"/>
      <c r="AV15" s="13"/>
      <c r="AW15" s="434"/>
      <c r="AX15" s="413"/>
      <c r="AY15" s="413"/>
      <c r="AZ15" s="13"/>
      <c r="BA15" s="434"/>
      <c r="BB15" s="413"/>
      <c r="BC15" s="413"/>
      <c r="BD15" s="13"/>
      <c r="BE15" s="434"/>
      <c r="BF15" s="413"/>
      <c r="BG15" s="413"/>
      <c r="BH15" s="13"/>
      <c r="BI15" s="434"/>
      <c r="BJ15" s="413"/>
      <c r="BK15" s="413"/>
      <c r="BL15" s="13"/>
      <c r="BM15" s="434"/>
      <c r="BN15" s="413"/>
      <c r="BO15" s="413"/>
      <c r="BP15" s="13"/>
      <c r="BQ15" s="29"/>
      <c r="BR15" s="13"/>
    </row>
    <row r="16" spans="1:70" ht="6.75" customHeight="1">
      <c r="A16" s="19"/>
      <c r="B16" s="287">
        <f>VLOOKUP(G16,Таблицы!A2:B32,2,TRUE)</f>
        <v>1</v>
      </c>
      <c r="C16" s="287"/>
      <c r="D16" s="287"/>
      <c r="E16" s="287"/>
      <c r="F16" s="287"/>
      <c r="G16" s="254">
        <v>0</v>
      </c>
      <c r="H16" s="254"/>
      <c r="I16" s="254"/>
      <c r="J16" s="254"/>
      <c r="K16" s="254"/>
      <c r="L16" s="254"/>
      <c r="M16" s="287">
        <f>VLOOKUP(B16+1,Таблицы!B2:C32,2,FALSE)</f>
        <v>1000</v>
      </c>
      <c r="N16" s="287"/>
      <c r="O16" s="287"/>
      <c r="P16" s="287"/>
      <c r="Q16" s="287"/>
      <c r="R16" s="287"/>
      <c r="S16" s="254"/>
      <c r="T16" s="254"/>
      <c r="U16" s="254"/>
      <c r="V16" s="254"/>
      <c r="W16" s="254"/>
      <c r="X16" s="254"/>
      <c r="Y16" s="29"/>
      <c r="Z16" s="19"/>
      <c r="AA16" s="15"/>
      <c r="AB16" s="15"/>
      <c r="AC16" s="172"/>
      <c r="AD16" s="172"/>
      <c r="AE16" s="172"/>
      <c r="AF16" s="172"/>
      <c r="AG16" s="172"/>
      <c r="AH16" s="172"/>
      <c r="AI16" s="172"/>
      <c r="AJ16" s="172"/>
      <c r="AK16" s="435"/>
      <c r="AL16" s="435"/>
      <c r="AM16" s="13"/>
      <c r="AN16" s="228"/>
      <c r="AO16" s="228"/>
      <c r="AP16" s="436"/>
      <c r="AQ16" s="436"/>
      <c r="AR16" s="15"/>
      <c r="AS16" s="13"/>
      <c r="AT16" s="228"/>
      <c r="AU16" s="228"/>
      <c r="AV16" s="13"/>
      <c r="AW16" s="434"/>
      <c r="AX16" s="413"/>
      <c r="AY16" s="413"/>
      <c r="AZ16" s="13"/>
      <c r="BA16" s="434"/>
      <c r="BB16" s="413"/>
      <c r="BC16" s="413"/>
      <c r="BD16" s="13"/>
      <c r="BE16" s="434"/>
      <c r="BF16" s="413"/>
      <c r="BG16" s="413"/>
      <c r="BH16" s="13"/>
      <c r="BI16" s="434"/>
      <c r="BJ16" s="413"/>
      <c r="BK16" s="413"/>
      <c r="BL16" s="13"/>
      <c r="BM16" s="434"/>
      <c r="BN16" s="413"/>
      <c r="BO16" s="413"/>
      <c r="BP16" s="13"/>
      <c r="BQ16" s="29"/>
      <c r="BR16" s="13"/>
    </row>
    <row r="17" spans="1:70" ht="7.5" customHeight="1" thickBot="1">
      <c r="A17" s="20"/>
      <c r="B17" s="483"/>
      <c r="C17" s="483"/>
      <c r="D17" s="483"/>
      <c r="E17" s="483"/>
      <c r="F17" s="483"/>
      <c r="G17" s="468"/>
      <c r="H17" s="468"/>
      <c r="I17" s="468"/>
      <c r="J17" s="468"/>
      <c r="K17" s="468"/>
      <c r="L17" s="468"/>
      <c r="M17" s="483"/>
      <c r="N17" s="483"/>
      <c r="O17" s="483"/>
      <c r="P17" s="483"/>
      <c r="Q17" s="483"/>
      <c r="R17" s="483"/>
      <c r="S17" s="468"/>
      <c r="T17" s="468"/>
      <c r="U17" s="468"/>
      <c r="V17" s="468"/>
      <c r="W17" s="468"/>
      <c r="X17" s="468"/>
      <c r="Y17" s="29"/>
      <c r="Z17" s="19"/>
      <c r="AA17" s="15"/>
      <c r="AB17" s="15"/>
      <c r="AC17" s="172" t="s">
        <v>1168</v>
      </c>
      <c r="AD17" s="172"/>
      <c r="AE17" s="172"/>
      <c r="AF17" s="172"/>
      <c r="AG17" s="172"/>
      <c r="AH17" s="172"/>
      <c r="AI17" s="172"/>
      <c r="AJ17" s="172"/>
      <c r="AK17" s="435">
        <f>SUM(AN17:AQ18)+IF(Таблицы!BI35=6,Таблицы!BI32,0)+AT17</f>
        <v>20</v>
      </c>
      <c r="AL17" s="435"/>
      <c r="AM17" s="13"/>
      <c r="AN17" s="228">
        <f>IF(D36=0,"",(D36*4)+Таблицы!M181+Таблицы!U181)</f>
        <v>20</v>
      </c>
      <c r="AO17" s="228"/>
      <c r="AP17" s="436"/>
      <c r="AQ17" s="436"/>
      <c r="AR17" s="13"/>
      <c r="AS17" s="13"/>
      <c r="AT17" s="287">
        <f>IF(Таблицы!M181=20,SUM(AX17*2,BB17*2/2,INT(BF17*2/3),INT(BJ17*2/4),INT(BN17*2/5)),SUM(AX17,INT(BB17/2),INT(BF17/3),INT(BJ17/4),INT(BN17/5)))</f>
        <v>0</v>
      </c>
      <c r="AU17" s="287"/>
      <c r="AV17" s="13"/>
      <c r="AW17" s="434"/>
      <c r="AX17" s="413"/>
      <c r="AY17" s="413"/>
      <c r="AZ17" s="13"/>
      <c r="BA17" s="434"/>
      <c r="BB17" s="413"/>
      <c r="BC17" s="413"/>
      <c r="BD17" s="13"/>
      <c r="BE17" s="434"/>
      <c r="BF17" s="413"/>
      <c r="BG17" s="413"/>
      <c r="BH17" s="13"/>
      <c r="BI17" s="434"/>
      <c r="BJ17" s="413"/>
      <c r="BK17" s="413"/>
      <c r="BL17" s="13"/>
      <c r="BM17" s="434"/>
      <c r="BN17" s="413"/>
      <c r="BO17" s="413"/>
      <c r="BP17" s="13"/>
      <c r="BQ17" s="29"/>
      <c r="BR17" s="13"/>
    </row>
    <row r="18" spans="1:70" ht="7.5" customHeight="1">
      <c r="A18" s="16"/>
      <c r="B18" s="448" t="s">
        <v>92</v>
      </c>
      <c r="C18" s="449"/>
      <c r="D18" s="449"/>
      <c r="E18" s="449"/>
      <c r="F18" s="449"/>
      <c r="G18" s="449" t="s">
        <v>62</v>
      </c>
      <c r="H18" s="449"/>
      <c r="I18" s="449"/>
      <c r="J18" s="449"/>
      <c r="K18" s="449"/>
      <c r="L18" s="449"/>
      <c r="M18" s="449" t="s">
        <v>63</v>
      </c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50"/>
      <c r="Y18" s="29"/>
      <c r="Z18" s="19"/>
      <c r="AA18" s="15"/>
      <c r="AB18" s="15"/>
      <c r="AC18" s="172"/>
      <c r="AD18" s="172"/>
      <c r="AE18" s="172"/>
      <c r="AF18" s="172"/>
      <c r="AG18" s="172"/>
      <c r="AH18" s="172"/>
      <c r="AI18" s="172"/>
      <c r="AJ18" s="172"/>
      <c r="AK18" s="435"/>
      <c r="AL18" s="435"/>
      <c r="AM18" s="13"/>
      <c r="AN18" s="228"/>
      <c r="AO18" s="228"/>
      <c r="AP18" s="436"/>
      <c r="AQ18" s="436"/>
      <c r="AR18" s="15"/>
      <c r="AS18" s="13"/>
      <c r="AT18" s="228"/>
      <c r="AU18" s="228"/>
      <c r="AV18" s="13"/>
      <c r="AW18" s="434"/>
      <c r="AX18" s="413"/>
      <c r="AY18" s="413"/>
      <c r="AZ18" s="13"/>
      <c r="BA18" s="434"/>
      <c r="BB18" s="413"/>
      <c r="BC18" s="413"/>
      <c r="BD18" s="13"/>
      <c r="BE18" s="434"/>
      <c r="BF18" s="413"/>
      <c r="BG18" s="413"/>
      <c r="BH18" s="13"/>
      <c r="BI18" s="434"/>
      <c r="BJ18" s="413"/>
      <c r="BK18" s="413"/>
      <c r="BL18" s="13"/>
      <c r="BM18" s="434"/>
      <c r="BN18" s="413"/>
      <c r="BO18" s="413"/>
      <c r="BP18" s="13"/>
      <c r="BQ18" s="29"/>
      <c r="BR18" s="13"/>
    </row>
    <row r="19" spans="1:70" ht="6.75" customHeight="1" thickBot="1">
      <c r="A19" s="19"/>
      <c r="B19" s="451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3"/>
      <c r="Y19" s="29"/>
      <c r="Z19" s="19"/>
      <c r="AA19" s="15"/>
      <c r="AB19" s="15"/>
      <c r="AC19" s="172" t="s">
        <v>79</v>
      </c>
      <c r="AD19" s="172"/>
      <c r="AE19" s="172"/>
      <c r="AF19" s="172"/>
      <c r="AG19" s="172"/>
      <c r="AH19" s="172"/>
      <c r="AI19" s="172"/>
      <c r="AJ19" s="172"/>
      <c r="AK19" s="435">
        <f>SUM(AN19:AQ20)+AT19</f>
        <v>20</v>
      </c>
      <c r="AL19" s="435"/>
      <c r="AM19" s="13"/>
      <c r="AN19" s="228">
        <f>IF(D36=0,"",(2*SUM(D28,D34))+Таблицы!M182+Таблицы!U182)</f>
        <v>20</v>
      </c>
      <c r="AO19" s="228"/>
      <c r="AP19" s="436"/>
      <c r="AQ19" s="436"/>
      <c r="AR19" s="13"/>
      <c r="AS19" s="13"/>
      <c r="AT19" s="287">
        <f>IF(Таблицы!M182=20,SUM(AX19*2,BB19*2/2,INT(BF19*2/3),INT(BJ19*2/4),INT(BN19*2/5)),SUM(AX19,INT(BB19/2),INT(BF19/3),INT(BJ19/4),INT(BN19/5)))</f>
        <v>0</v>
      </c>
      <c r="AU19" s="287"/>
      <c r="AV19" s="13"/>
      <c r="AW19" s="434"/>
      <c r="AX19" s="413"/>
      <c r="AY19" s="413"/>
      <c r="AZ19" s="13"/>
      <c r="BA19" s="434"/>
      <c r="BB19" s="413"/>
      <c r="BC19" s="413"/>
      <c r="BD19" s="13"/>
      <c r="BE19" s="434"/>
      <c r="BF19" s="413"/>
      <c r="BG19" s="413"/>
      <c r="BH19" s="13"/>
      <c r="BI19" s="434"/>
      <c r="BJ19" s="413"/>
      <c r="BK19" s="413"/>
      <c r="BL19" s="13"/>
      <c r="BM19" s="434"/>
      <c r="BN19" s="413"/>
      <c r="BO19" s="413"/>
      <c r="BP19" s="13"/>
      <c r="BQ19" s="29"/>
      <c r="BR19" s="13"/>
    </row>
    <row r="20" spans="1:70" ht="7.5" customHeight="1">
      <c r="A20" s="21"/>
      <c r="B20" s="287">
        <f>IF(OR(Таблицы!F191=16,Таблицы!F192=16),SUM(INDEX(Таблицы!F2:S10,Таблицы!J1,10),1),INDEX(Таблицы!F2:S10,Таблицы!J1,10))</f>
        <v>3</v>
      </c>
      <c r="C20" s="287"/>
      <c r="D20" s="287"/>
      <c r="E20" s="287"/>
      <c r="F20" s="287"/>
      <c r="G20" s="287">
        <f>ROUNDDOWN(3+(D30/2),0)+INDEX(Таблицы!R2:R10,Таблицы!J1,1)</f>
        <v>5</v>
      </c>
      <c r="H20" s="287"/>
      <c r="I20" s="287"/>
      <c r="J20" s="287"/>
      <c r="K20" s="287"/>
      <c r="L20" s="287"/>
      <c r="M20" s="287">
        <f>IF(D34=0,"",IF(OR(Таблицы!F191=16,Таблицы!F192=16,Таблицы!F191=17,Таблицы!F192=17),SUM(5+(2*D34),IF(OR(Таблицы!F191=16,Таблицы!F192=16),Таблицы!L46,0),IF(OR(Таблицы!F191=17,Таблицы!F192=17),Таблицы!L48,0)),5+(2*D34)))+INDEX(Таблицы!U2:U10,Таблицы!J1,1)</f>
        <v>15</v>
      </c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31"/>
      <c r="Z20" s="42"/>
      <c r="AA20" s="15"/>
      <c r="AB20" s="15"/>
      <c r="AC20" s="172"/>
      <c r="AD20" s="172"/>
      <c r="AE20" s="172"/>
      <c r="AF20" s="172"/>
      <c r="AG20" s="172"/>
      <c r="AH20" s="172"/>
      <c r="AI20" s="172"/>
      <c r="AJ20" s="172"/>
      <c r="AK20" s="435"/>
      <c r="AL20" s="435"/>
      <c r="AM20" s="13"/>
      <c r="AN20" s="228"/>
      <c r="AO20" s="228"/>
      <c r="AP20" s="436"/>
      <c r="AQ20" s="436"/>
      <c r="AR20" s="13"/>
      <c r="AS20" s="13"/>
      <c r="AT20" s="228"/>
      <c r="AU20" s="228"/>
      <c r="AV20" s="13"/>
      <c r="AW20" s="434"/>
      <c r="AX20" s="413"/>
      <c r="AY20" s="413"/>
      <c r="AZ20" s="13"/>
      <c r="BA20" s="434"/>
      <c r="BB20" s="413"/>
      <c r="BC20" s="413"/>
      <c r="BD20" s="13"/>
      <c r="BE20" s="434"/>
      <c r="BF20" s="413"/>
      <c r="BG20" s="413"/>
      <c r="BH20" s="13"/>
      <c r="BI20" s="434"/>
      <c r="BJ20" s="413"/>
      <c r="BK20" s="413"/>
      <c r="BL20" s="13"/>
      <c r="BM20" s="434"/>
      <c r="BN20" s="413"/>
      <c r="BO20" s="413"/>
      <c r="BP20" s="13"/>
      <c r="BQ20" s="29"/>
      <c r="BR20" s="13"/>
    </row>
    <row r="21" spans="1:70" ht="7.5" customHeight="1">
      <c r="A21" s="19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31"/>
      <c r="Z21" s="42"/>
      <c r="AA21" s="15"/>
      <c r="AB21" s="15"/>
      <c r="AC21" s="172" t="s">
        <v>80</v>
      </c>
      <c r="AD21" s="172"/>
      <c r="AE21" s="172"/>
      <c r="AF21" s="172"/>
      <c r="AG21" s="172"/>
      <c r="AH21" s="172"/>
      <c r="AI21" s="172"/>
      <c r="AJ21" s="172"/>
      <c r="AK21" s="435">
        <f>SUM(AN21:AQ22)+AT21</f>
        <v>15</v>
      </c>
      <c r="AL21" s="435"/>
      <c r="AM21" s="13"/>
      <c r="AN21" s="228">
        <f>IF(D36=0,"",(5+SUM(D28,D34)+Таблицы!M183+Таблицы!U183))</f>
        <v>15</v>
      </c>
      <c r="AO21" s="228"/>
      <c r="AP21" s="436"/>
      <c r="AQ21" s="436"/>
      <c r="AR21" s="13"/>
      <c r="AS21" s="13"/>
      <c r="AT21" s="287">
        <f>IF(Таблицы!M183=20,SUM(AX21*2,BB21*2/2,INT(BF21*2/3),INT(BJ21*2/4),INT(BN21*2/5)),SUM(AX21,INT(BB21/2),INT(BF21/3),INT(BJ21/4),INT(BN21/5)))</f>
        <v>0</v>
      </c>
      <c r="AU21" s="287"/>
      <c r="AV21" s="13"/>
      <c r="AW21" s="434"/>
      <c r="AX21" s="413"/>
      <c r="AY21" s="413"/>
      <c r="AZ21" s="13"/>
      <c r="BA21" s="434"/>
      <c r="BB21" s="413"/>
      <c r="BC21" s="413"/>
      <c r="BD21" s="13"/>
      <c r="BE21" s="434"/>
      <c r="BF21" s="413"/>
      <c r="BG21" s="413"/>
      <c r="BH21" s="13"/>
      <c r="BI21" s="434"/>
      <c r="BJ21" s="413"/>
      <c r="BK21" s="413"/>
      <c r="BL21" s="22"/>
      <c r="BM21" s="434"/>
      <c r="BN21" s="413"/>
      <c r="BO21" s="413"/>
      <c r="BP21" s="13"/>
      <c r="BQ21" s="29"/>
      <c r="BR21" s="13"/>
    </row>
    <row r="22" spans="1:70" ht="7.5" customHeight="1">
      <c r="A22" s="65"/>
      <c r="B22" s="46"/>
      <c r="C22" s="46"/>
      <c r="D22" s="46"/>
      <c r="E22" s="46"/>
      <c r="F22" s="68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66"/>
      <c r="Z22" s="19"/>
      <c r="AA22" s="15"/>
      <c r="AB22" s="15"/>
      <c r="AC22" s="172"/>
      <c r="AD22" s="172"/>
      <c r="AE22" s="172"/>
      <c r="AF22" s="172"/>
      <c r="AG22" s="172"/>
      <c r="AH22" s="172"/>
      <c r="AI22" s="172"/>
      <c r="AJ22" s="172"/>
      <c r="AK22" s="435"/>
      <c r="AL22" s="435"/>
      <c r="AM22" s="13"/>
      <c r="AN22" s="228"/>
      <c r="AO22" s="228"/>
      <c r="AP22" s="436"/>
      <c r="AQ22" s="436"/>
      <c r="AR22" s="13"/>
      <c r="AS22" s="13"/>
      <c r="AT22" s="228"/>
      <c r="AU22" s="228"/>
      <c r="AV22" s="13"/>
      <c r="AW22" s="434"/>
      <c r="AX22" s="413"/>
      <c r="AY22" s="413"/>
      <c r="AZ22" s="13"/>
      <c r="BA22" s="434"/>
      <c r="BB22" s="413"/>
      <c r="BC22" s="413"/>
      <c r="BD22" s="13"/>
      <c r="BE22" s="434"/>
      <c r="BF22" s="413"/>
      <c r="BG22" s="413"/>
      <c r="BH22" s="13"/>
      <c r="BI22" s="434"/>
      <c r="BJ22" s="413"/>
      <c r="BK22" s="413"/>
      <c r="BL22" s="22"/>
      <c r="BM22" s="434"/>
      <c r="BN22" s="413"/>
      <c r="BO22" s="413"/>
      <c r="BP22" s="13"/>
      <c r="BQ22" s="29"/>
      <c r="BR22" s="13"/>
    </row>
    <row r="23" spans="1:70" ht="7.5" customHeight="1" thickBot="1">
      <c r="A23" s="19"/>
      <c r="B23" s="13"/>
      <c r="C23" s="13"/>
      <c r="D23" s="13"/>
      <c r="E23" s="13"/>
      <c r="F23" s="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29"/>
      <c r="Z23" s="19"/>
      <c r="AA23" s="15"/>
      <c r="AB23" s="15"/>
      <c r="AC23" s="172" t="s">
        <v>81</v>
      </c>
      <c r="AD23" s="172"/>
      <c r="AE23" s="172"/>
      <c r="AF23" s="172"/>
      <c r="AG23" s="172"/>
      <c r="AH23" s="172"/>
      <c r="AI23" s="172"/>
      <c r="AJ23" s="172"/>
      <c r="AK23" s="435">
        <f>SUM(AN23:AQ24)+AT23</f>
        <v>20</v>
      </c>
      <c r="AL23" s="435"/>
      <c r="AM23" s="13"/>
      <c r="AN23" s="228">
        <f>IF(D36=0,"",5+(3*D36)+Таблицы!M184+Таблицы!U184)</f>
        <v>20</v>
      </c>
      <c r="AO23" s="228"/>
      <c r="AP23" s="436"/>
      <c r="AQ23" s="436"/>
      <c r="AR23" s="13"/>
      <c r="AS23" s="13"/>
      <c r="AT23" s="287">
        <f>IF(Таблицы!M184=20,SUM(AX23*2,BB23*2/2,INT(BF23*2/3),INT(BJ23*2/4),INT(BN23*2/5)),SUM(AX23,INT(BB23/2),INT(BF23/3),INT(BJ23/4),INT(BN23/5)))</f>
        <v>0</v>
      </c>
      <c r="AU23" s="287"/>
      <c r="AV23" s="13"/>
      <c r="AW23" s="434"/>
      <c r="AX23" s="413"/>
      <c r="AY23" s="413"/>
      <c r="AZ23" s="13"/>
      <c r="BA23" s="434"/>
      <c r="BB23" s="413"/>
      <c r="BC23" s="413"/>
      <c r="BD23" s="13"/>
      <c r="BE23" s="434"/>
      <c r="BF23" s="413"/>
      <c r="BG23" s="413"/>
      <c r="BH23" s="13"/>
      <c r="BI23" s="434"/>
      <c r="BJ23" s="413"/>
      <c r="BK23" s="413"/>
      <c r="BL23" s="22"/>
      <c r="BM23" s="434"/>
      <c r="BN23" s="413"/>
      <c r="BO23" s="413"/>
      <c r="BP23" s="13"/>
      <c r="BQ23" s="29"/>
      <c r="BR23" s="13"/>
    </row>
    <row r="24" spans="1:70" ht="7.5" customHeight="1">
      <c r="A24" s="19"/>
      <c r="B24" s="488" t="s">
        <v>94</v>
      </c>
      <c r="C24" s="489"/>
      <c r="D24" s="424" t="s">
        <v>222</v>
      </c>
      <c r="E24" s="424"/>
      <c r="F24" s="425"/>
      <c r="G24" s="13"/>
      <c r="H24" s="415" t="s">
        <v>95</v>
      </c>
      <c r="I24" s="442"/>
      <c r="J24" s="442"/>
      <c r="K24" s="455" t="s">
        <v>74</v>
      </c>
      <c r="L24" s="455"/>
      <c r="M24" s="455"/>
      <c r="N24" s="458" t="s">
        <v>8</v>
      </c>
      <c r="O24" s="458"/>
      <c r="P24" s="459"/>
      <c r="Q24" s="13"/>
      <c r="R24" s="448" t="s">
        <v>272</v>
      </c>
      <c r="S24" s="449"/>
      <c r="T24" s="449"/>
      <c r="U24" s="449"/>
      <c r="V24" s="449"/>
      <c r="W24" s="449"/>
      <c r="X24" s="450"/>
      <c r="Y24" s="29"/>
      <c r="Z24" s="19"/>
      <c r="AA24" s="15"/>
      <c r="AB24" s="15"/>
      <c r="AC24" s="172"/>
      <c r="AD24" s="172"/>
      <c r="AE24" s="172"/>
      <c r="AF24" s="172"/>
      <c r="AG24" s="172"/>
      <c r="AH24" s="172"/>
      <c r="AI24" s="172"/>
      <c r="AJ24" s="172"/>
      <c r="AK24" s="435"/>
      <c r="AL24" s="435"/>
      <c r="AM24" s="13"/>
      <c r="AN24" s="228"/>
      <c r="AO24" s="228"/>
      <c r="AP24" s="436"/>
      <c r="AQ24" s="436"/>
      <c r="AR24" s="13"/>
      <c r="AS24" s="13"/>
      <c r="AT24" s="228"/>
      <c r="AU24" s="228"/>
      <c r="AV24" s="13"/>
      <c r="AW24" s="434"/>
      <c r="AX24" s="413"/>
      <c r="AY24" s="413"/>
      <c r="AZ24" s="13"/>
      <c r="BA24" s="434"/>
      <c r="BB24" s="413"/>
      <c r="BC24" s="413"/>
      <c r="BD24" s="13"/>
      <c r="BE24" s="434"/>
      <c r="BF24" s="413"/>
      <c r="BG24" s="413"/>
      <c r="BH24" s="13"/>
      <c r="BI24" s="434"/>
      <c r="BJ24" s="413"/>
      <c r="BK24" s="413"/>
      <c r="BL24" s="22"/>
      <c r="BM24" s="434"/>
      <c r="BN24" s="413"/>
      <c r="BO24" s="413"/>
      <c r="BP24" s="13"/>
      <c r="BQ24" s="29"/>
      <c r="BR24" s="13"/>
    </row>
    <row r="25" spans="1:70" ht="7.5" customHeight="1" thickBot="1">
      <c r="A25" s="21"/>
      <c r="B25" s="490"/>
      <c r="C25" s="491"/>
      <c r="D25" s="427"/>
      <c r="E25" s="427"/>
      <c r="F25" s="428"/>
      <c r="G25" s="13"/>
      <c r="H25" s="443"/>
      <c r="I25" s="444"/>
      <c r="J25" s="444"/>
      <c r="K25" s="457"/>
      <c r="L25" s="457"/>
      <c r="M25" s="457"/>
      <c r="N25" s="460"/>
      <c r="O25" s="460"/>
      <c r="P25" s="461"/>
      <c r="Q25" s="13"/>
      <c r="R25" s="451"/>
      <c r="S25" s="452"/>
      <c r="T25" s="452"/>
      <c r="U25" s="452"/>
      <c r="V25" s="452"/>
      <c r="W25" s="452"/>
      <c r="X25" s="453"/>
      <c r="Y25" s="29"/>
      <c r="Z25" s="19"/>
      <c r="AA25" s="15"/>
      <c r="AB25" s="15"/>
      <c r="AC25" s="172" t="s">
        <v>82</v>
      </c>
      <c r="AD25" s="172"/>
      <c r="AE25" s="172"/>
      <c r="AF25" s="172"/>
      <c r="AG25" s="172"/>
      <c r="AH25" s="172"/>
      <c r="AI25" s="172"/>
      <c r="AJ25" s="172"/>
      <c r="AK25" s="435">
        <f>SUM(AN25:AQ26)+AT25</f>
        <v>20</v>
      </c>
      <c r="AL25" s="435"/>
      <c r="AM25" s="13"/>
      <c r="AN25" s="228">
        <f>IF(D36=0,"",10+(SUM(D28,D36)+Таблицы!M185+Таблицы!U185))</f>
        <v>20</v>
      </c>
      <c r="AO25" s="228"/>
      <c r="AP25" s="436"/>
      <c r="AQ25" s="436"/>
      <c r="AR25" s="13"/>
      <c r="AS25" s="13"/>
      <c r="AT25" s="287">
        <f>IF(Таблицы!M185=20,SUM(AX25*2,BB25*2/2,INT(BF25*2/3),INT(BJ25*2/4),INT(BN25*2/5)),SUM(AX25,INT(BB25/2),INT(BF25/3),INT(BJ25/4),INT(BN25/5)))</f>
        <v>0</v>
      </c>
      <c r="AU25" s="287"/>
      <c r="AV25" s="13"/>
      <c r="AW25" s="434"/>
      <c r="AX25" s="413"/>
      <c r="AY25" s="413"/>
      <c r="AZ25" s="13"/>
      <c r="BA25" s="434"/>
      <c r="BB25" s="413"/>
      <c r="BC25" s="413"/>
      <c r="BD25" s="13"/>
      <c r="BE25" s="434"/>
      <c r="BF25" s="413"/>
      <c r="BG25" s="413"/>
      <c r="BH25" s="13"/>
      <c r="BI25" s="434"/>
      <c r="BJ25" s="413"/>
      <c r="BK25" s="413"/>
      <c r="BL25" s="22"/>
      <c r="BM25" s="434"/>
      <c r="BN25" s="413"/>
      <c r="BO25" s="413"/>
      <c r="BP25" s="13"/>
      <c r="BQ25" s="29"/>
      <c r="BR25" s="13"/>
    </row>
    <row r="26" spans="1:70" ht="7.5" customHeight="1">
      <c r="A26" s="16"/>
      <c r="B26" s="492" t="s">
        <v>258</v>
      </c>
      <c r="C26" s="385"/>
      <c r="D26" s="287">
        <f>SUM(K26+N26,IF(OR(Таблицы!F191=3,Таблицы!F192=3),Таблицы!L35,0),IF(OR(Таблицы!F191=17,Таблицы!F192=17),Таблицы!L49,0))</f>
        <v>5</v>
      </c>
      <c r="E26" s="287"/>
      <c r="F26" s="465"/>
      <c r="G26" s="13"/>
      <c r="H26" s="445" t="str">
        <f>INDEX(Таблицы!F2:L11,Таблицы!J1,1)</f>
        <v>1/10</v>
      </c>
      <c r="I26" s="446"/>
      <c r="J26" s="447"/>
      <c r="K26" s="287">
        <f>INDEX(Таблицы!AF2:AL10,Таблицы!J1,1)</f>
        <v>5</v>
      </c>
      <c r="L26" s="287"/>
      <c r="M26" s="287"/>
      <c r="N26" s="254"/>
      <c r="O26" s="254"/>
      <c r="P26" s="254"/>
      <c r="Q26" s="13"/>
      <c r="R26" s="414"/>
      <c r="S26" s="414"/>
      <c r="T26" s="414"/>
      <c r="U26" s="414"/>
      <c r="V26" s="414"/>
      <c r="W26" s="414"/>
      <c r="X26" s="414"/>
      <c r="Y26" s="29"/>
      <c r="Z26" s="19"/>
      <c r="AA26" s="15"/>
      <c r="AB26" s="15"/>
      <c r="AC26" s="172"/>
      <c r="AD26" s="172"/>
      <c r="AE26" s="172"/>
      <c r="AF26" s="172"/>
      <c r="AG26" s="172"/>
      <c r="AH26" s="172"/>
      <c r="AI26" s="172"/>
      <c r="AJ26" s="172"/>
      <c r="AK26" s="435"/>
      <c r="AL26" s="435"/>
      <c r="AM26" s="13"/>
      <c r="AN26" s="228"/>
      <c r="AO26" s="228"/>
      <c r="AP26" s="436"/>
      <c r="AQ26" s="436"/>
      <c r="AR26" s="13"/>
      <c r="AS26" s="13"/>
      <c r="AT26" s="228"/>
      <c r="AU26" s="228"/>
      <c r="AV26" s="13"/>
      <c r="AW26" s="434"/>
      <c r="AX26" s="413"/>
      <c r="AY26" s="413"/>
      <c r="AZ26" s="13"/>
      <c r="BA26" s="434"/>
      <c r="BB26" s="413"/>
      <c r="BC26" s="413"/>
      <c r="BD26" s="13"/>
      <c r="BE26" s="434"/>
      <c r="BF26" s="413"/>
      <c r="BG26" s="413"/>
      <c r="BH26" s="13"/>
      <c r="BI26" s="434"/>
      <c r="BJ26" s="413"/>
      <c r="BK26" s="413"/>
      <c r="BL26" s="22"/>
      <c r="BM26" s="434"/>
      <c r="BN26" s="413"/>
      <c r="BO26" s="413"/>
      <c r="BP26" s="13"/>
      <c r="BQ26" s="29"/>
      <c r="BR26" s="13"/>
    </row>
    <row r="27" spans="1:70" ht="7.5" customHeight="1" thickBot="1">
      <c r="A27" s="16"/>
      <c r="B27" s="487"/>
      <c r="C27" s="347"/>
      <c r="D27" s="228"/>
      <c r="E27" s="228"/>
      <c r="F27" s="439"/>
      <c r="G27" s="13"/>
      <c r="H27" s="357"/>
      <c r="I27" s="358"/>
      <c r="J27" s="359"/>
      <c r="K27" s="228"/>
      <c r="L27" s="228"/>
      <c r="M27" s="228"/>
      <c r="N27" s="227"/>
      <c r="O27" s="227"/>
      <c r="P27" s="227"/>
      <c r="Q27" s="13"/>
      <c r="R27" s="467"/>
      <c r="S27" s="467"/>
      <c r="T27" s="467"/>
      <c r="U27" s="467"/>
      <c r="V27" s="467"/>
      <c r="W27" s="467"/>
      <c r="X27" s="467"/>
      <c r="Y27" s="29"/>
      <c r="Z27" s="19"/>
      <c r="AA27" s="15"/>
      <c r="AB27" s="15"/>
      <c r="AC27" s="172" t="s">
        <v>83</v>
      </c>
      <c r="AD27" s="172"/>
      <c r="AE27" s="172"/>
      <c r="AF27" s="172"/>
      <c r="AG27" s="172"/>
      <c r="AH27" s="172"/>
      <c r="AI27" s="172"/>
      <c r="AJ27" s="172"/>
      <c r="AK27" s="435">
        <f>SUM(AN27:AQ28)+AT27</f>
        <v>15</v>
      </c>
      <c r="AL27" s="435"/>
      <c r="AM27" s="13"/>
      <c r="AN27" s="228">
        <f>IF(D36=0,"",(D36*3)+Таблицы!M186+Таблицы!U186)</f>
        <v>15</v>
      </c>
      <c r="AO27" s="228"/>
      <c r="AP27" s="436"/>
      <c r="AQ27" s="436"/>
      <c r="AR27" s="13"/>
      <c r="AS27" s="13"/>
      <c r="AT27" s="287">
        <f>IF(Таблицы!M186=20,SUM(AX27*2,BB27*2/2,INT(BF27*2/3),INT(BJ27*2/4),INT(BN27*2/5)),SUM(AX27,INT(BB27/2),INT(BF27/3),INT(BJ27/4),INT(BN27/5)))</f>
        <v>0</v>
      </c>
      <c r="AU27" s="287"/>
      <c r="AV27" s="13"/>
      <c r="AW27" s="434"/>
      <c r="AX27" s="413"/>
      <c r="AY27" s="413"/>
      <c r="AZ27" s="13"/>
      <c r="BA27" s="434"/>
      <c r="BB27" s="413"/>
      <c r="BC27" s="413"/>
      <c r="BD27" s="13"/>
      <c r="BE27" s="434"/>
      <c r="BF27" s="413"/>
      <c r="BG27" s="413"/>
      <c r="BH27" s="13"/>
      <c r="BI27" s="434"/>
      <c r="BJ27" s="413"/>
      <c r="BK27" s="413"/>
      <c r="BL27" s="22"/>
      <c r="BM27" s="434"/>
      <c r="BN27" s="413"/>
      <c r="BO27" s="413"/>
      <c r="BP27" s="13"/>
      <c r="BQ27" s="29"/>
      <c r="BR27" s="13"/>
    </row>
    <row r="28" spans="1:70" ht="7.5" customHeight="1">
      <c r="A28" s="16"/>
      <c r="B28" s="486" t="s">
        <v>115</v>
      </c>
      <c r="C28" s="346"/>
      <c r="D28" s="228">
        <f>SUM(K28+N28,IF(OR(Таблицы!F191=20,Таблицы!F192=20),Таблицы!L57,0),IF(OR(Таблицы!F191=17,Таблицы!F192=17),Таблицы!L50,0))</f>
        <v>5</v>
      </c>
      <c r="E28" s="228"/>
      <c r="F28" s="439"/>
      <c r="G28" s="13"/>
      <c r="H28" s="354" t="str">
        <f>INDEX(Таблицы!F2:L11,Таблицы!J1,2)</f>
        <v>1/10</v>
      </c>
      <c r="I28" s="355"/>
      <c r="J28" s="356"/>
      <c r="K28" s="287">
        <f>INDEX(Таблицы!AF2:AL10,Таблицы!J1,2)</f>
        <v>5</v>
      </c>
      <c r="L28" s="287"/>
      <c r="M28" s="287"/>
      <c r="N28" s="227"/>
      <c r="O28" s="227"/>
      <c r="P28" s="227"/>
      <c r="Q28" s="13"/>
      <c r="R28" s="448" t="s">
        <v>271</v>
      </c>
      <c r="S28" s="449"/>
      <c r="T28" s="449"/>
      <c r="U28" s="449"/>
      <c r="V28" s="449"/>
      <c r="W28" s="449"/>
      <c r="X28" s="450"/>
      <c r="Y28" s="29"/>
      <c r="Z28" s="19"/>
      <c r="AA28" s="15"/>
      <c r="AB28" s="15"/>
      <c r="AC28" s="172"/>
      <c r="AD28" s="172"/>
      <c r="AE28" s="172"/>
      <c r="AF28" s="172"/>
      <c r="AG28" s="172"/>
      <c r="AH28" s="172"/>
      <c r="AI28" s="172"/>
      <c r="AJ28" s="172"/>
      <c r="AK28" s="435"/>
      <c r="AL28" s="435"/>
      <c r="AM28" s="13"/>
      <c r="AN28" s="228"/>
      <c r="AO28" s="228"/>
      <c r="AP28" s="436"/>
      <c r="AQ28" s="436"/>
      <c r="AR28" s="13"/>
      <c r="AS28" s="13"/>
      <c r="AT28" s="228"/>
      <c r="AU28" s="228"/>
      <c r="AV28" s="13"/>
      <c r="AW28" s="434"/>
      <c r="AX28" s="413"/>
      <c r="AY28" s="413"/>
      <c r="AZ28" s="13"/>
      <c r="BA28" s="434"/>
      <c r="BB28" s="413"/>
      <c r="BC28" s="413"/>
      <c r="BD28" s="13"/>
      <c r="BE28" s="434"/>
      <c r="BF28" s="413"/>
      <c r="BG28" s="413"/>
      <c r="BH28" s="13"/>
      <c r="BI28" s="434"/>
      <c r="BJ28" s="413"/>
      <c r="BK28" s="413"/>
      <c r="BL28" s="22"/>
      <c r="BM28" s="434"/>
      <c r="BN28" s="413"/>
      <c r="BO28" s="413"/>
      <c r="BP28" s="13"/>
      <c r="BQ28" s="29"/>
      <c r="BR28" s="13"/>
    </row>
    <row r="29" spans="1:70" ht="7.5" customHeight="1" thickBot="1">
      <c r="A29" s="16"/>
      <c r="B29" s="487"/>
      <c r="C29" s="347"/>
      <c r="D29" s="228"/>
      <c r="E29" s="228"/>
      <c r="F29" s="439"/>
      <c r="G29" s="13"/>
      <c r="H29" s="357"/>
      <c r="I29" s="358"/>
      <c r="J29" s="359"/>
      <c r="K29" s="228"/>
      <c r="L29" s="228"/>
      <c r="M29" s="228"/>
      <c r="N29" s="227"/>
      <c r="O29" s="227"/>
      <c r="P29" s="227"/>
      <c r="Q29" s="13"/>
      <c r="R29" s="451"/>
      <c r="S29" s="452"/>
      <c r="T29" s="452"/>
      <c r="U29" s="452"/>
      <c r="V29" s="452"/>
      <c r="W29" s="452"/>
      <c r="X29" s="453"/>
      <c r="Y29" s="29"/>
      <c r="Z29" s="19"/>
      <c r="AA29" s="15"/>
      <c r="AB29" s="15"/>
      <c r="AC29" s="172" t="s">
        <v>84</v>
      </c>
      <c r="AD29" s="172"/>
      <c r="AE29" s="172"/>
      <c r="AF29" s="172"/>
      <c r="AG29" s="172"/>
      <c r="AH29" s="172"/>
      <c r="AI29" s="172"/>
      <c r="AJ29" s="172"/>
      <c r="AK29" s="435">
        <f>SUM(AN29:AQ30)+AT29</f>
        <v>20</v>
      </c>
      <c r="AL29" s="435"/>
      <c r="AM29" s="13"/>
      <c r="AN29" s="228">
        <f>IF(D36=0,"",10+(SUM(D28,D36)+Таблицы!M187+Таблицы!U187))</f>
        <v>20</v>
      </c>
      <c r="AO29" s="228"/>
      <c r="AP29" s="436"/>
      <c r="AQ29" s="436"/>
      <c r="AR29" s="13"/>
      <c r="AS29" s="13"/>
      <c r="AT29" s="287">
        <f>IF(Таблицы!M187=20,SUM(AX29*2,BB29*2/2,INT(BF29*2/3),INT(BJ29*2/4),INT(BN29*2/5)),SUM(AX29,INT(BB29/2),INT(BF29/3),INT(BJ29/4),INT(BN29/5)))</f>
        <v>0</v>
      </c>
      <c r="AU29" s="287"/>
      <c r="AV29" s="13"/>
      <c r="AW29" s="434"/>
      <c r="AX29" s="413"/>
      <c r="AY29" s="413"/>
      <c r="AZ29" s="13"/>
      <c r="BA29" s="434"/>
      <c r="BB29" s="413"/>
      <c r="BC29" s="413"/>
      <c r="BD29" s="13"/>
      <c r="BE29" s="434"/>
      <c r="BF29" s="413"/>
      <c r="BG29" s="413"/>
      <c r="BH29" s="13"/>
      <c r="BI29" s="434"/>
      <c r="BJ29" s="413"/>
      <c r="BK29" s="413"/>
      <c r="BL29" s="22"/>
      <c r="BM29" s="434"/>
      <c r="BN29" s="413"/>
      <c r="BO29" s="413"/>
      <c r="BP29" s="13"/>
      <c r="BQ29" s="29"/>
      <c r="BR29" s="13"/>
    </row>
    <row r="30" spans="1:70" ht="7.5" customHeight="1">
      <c r="A30" s="16"/>
      <c r="B30" s="486" t="s">
        <v>116</v>
      </c>
      <c r="C30" s="346"/>
      <c r="D30" s="228">
        <f>SUM(K30+N30,IF(OR(Таблицы!F191=17,Таблицы!F192=17),Таблицы!L51,0))</f>
        <v>5</v>
      </c>
      <c r="E30" s="228"/>
      <c r="F30" s="439"/>
      <c r="G30" s="13"/>
      <c r="H30" s="354" t="str">
        <f>INDEX(Таблицы!F2:L11,Таблицы!J1,3)</f>
        <v>1/10</v>
      </c>
      <c r="I30" s="355"/>
      <c r="J30" s="356"/>
      <c r="K30" s="287">
        <f>INDEX(Таблицы!AF2:AL10,Таблицы!J1,3)</f>
        <v>5</v>
      </c>
      <c r="L30" s="287"/>
      <c r="M30" s="287"/>
      <c r="N30" s="227"/>
      <c r="O30" s="227"/>
      <c r="P30" s="227"/>
      <c r="Q30" s="13"/>
      <c r="R30" s="254"/>
      <c r="S30" s="254"/>
      <c r="T30" s="254"/>
      <c r="U30" s="254"/>
      <c r="V30" s="254"/>
      <c r="W30" s="254"/>
      <c r="X30" s="254"/>
      <c r="Y30" s="29"/>
      <c r="Z30" s="19"/>
      <c r="AA30" s="15"/>
      <c r="AB30" s="15"/>
      <c r="AC30" s="172"/>
      <c r="AD30" s="172"/>
      <c r="AE30" s="172"/>
      <c r="AF30" s="172"/>
      <c r="AG30" s="172"/>
      <c r="AH30" s="172"/>
      <c r="AI30" s="172"/>
      <c r="AJ30" s="172"/>
      <c r="AK30" s="435"/>
      <c r="AL30" s="435"/>
      <c r="AM30" s="13"/>
      <c r="AN30" s="228"/>
      <c r="AO30" s="228"/>
      <c r="AP30" s="436"/>
      <c r="AQ30" s="436"/>
      <c r="AR30" s="13"/>
      <c r="AS30" s="13"/>
      <c r="AT30" s="228"/>
      <c r="AU30" s="228"/>
      <c r="AV30" s="13"/>
      <c r="AW30" s="434"/>
      <c r="AX30" s="413"/>
      <c r="AY30" s="413"/>
      <c r="AZ30" s="13"/>
      <c r="BA30" s="434"/>
      <c r="BB30" s="413"/>
      <c r="BC30" s="413"/>
      <c r="BD30" s="13"/>
      <c r="BE30" s="434"/>
      <c r="BF30" s="413"/>
      <c r="BG30" s="413"/>
      <c r="BH30" s="13"/>
      <c r="BI30" s="434"/>
      <c r="BJ30" s="413"/>
      <c r="BK30" s="413"/>
      <c r="BL30" s="22"/>
      <c r="BM30" s="434"/>
      <c r="BN30" s="413"/>
      <c r="BO30" s="413"/>
      <c r="BP30" s="13"/>
      <c r="BQ30" s="29"/>
      <c r="BR30" s="13"/>
    </row>
    <row r="31" spans="1:70" ht="7.5" customHeight="1" thickBot="1">
      <c r="A31" s="16"/>
      <c r="B31" s="487"/>
      <c r="C31" s="347"/>
      <c r="D31" s="228"/>
      <c r="E31" s="228"/>
      <c r="F31" s="439"/>
      <c r="G31" s="13"/>
      <c r="H31" s="357"/>
      <c r="I31" s="358"/>
      <c r="J31" s="359"/>
      <c r="K31" s="228"/>
      <c r="L31" s="228"/>
      <c r="M31" s="228"/>
      <c r="N31" s="227"/>
      <c r="O31" s="227"/>
      <c r="P31" s="227"/>
      <c r="Q31" s="13"/>
      <c r="R31" s="468"/>
      <c r="S31" s="468"/>
      <c r="T31" s="468"/>
      <c r="U31" s="468"/>
      <c r="V31" s="468"/>
      <c r="W31" s="468"/>
      <c r="X31" s="468"/>
      <c r="Y31" s="29"/>
      <c r="Z31" s="19"/>
      <c r="AA31" s="15"/>
      <c r="AB31" s="15"/>
      <c r="AC31" s="172" t="s">
        <v>85</v>
      </c>
      <c r="AD31" s="172"/>
      <c r="AE31" s="172"/>
      <c r="AF31" s="172"/>
      <c r="AG31" s="172"/>
      <c r="AH31" s="172"/>
      <c r="AI31" s="172"/>
      <c r="AJ31" s="172"/>
      <c r="AK31" s="435">
        <f>SUM(AN31:AQ32)+AT31</f>
        <v>20</v>
      </c>
      <c r="AL31" s="435"/>
      <c r="AM31" s="13"/>
      <c r="AN31" s="228">
        <f>IF(D36=0,"",(D34*4)+Таблицы!M188+Таблицы!U188)</f>
        <v>20</v>
      </c>
      <c r="AO31" s="228"/>
      <c r="AP31" s="436"/>
      <c r="AQ31" s="436"/>
      <c r="AR31" s="13"/>
      <c r="AS31" s="13"/>
      <c r="AT31" s="287">
        <f>IF(Таблицы!M188=20,SUM(AX31*2,BB31*2/2,INT(BF31*2/3),INT(BJ31*2/4),INT(BN31*2/5)),SUM(AX31,INT(BB31/2),INT(BF31/3),INT(BJ31/4),INT(BN31/5)))</f>
        <v>0</v>
      </c>
      <c r="AU31" s="287"/>
      <c r="AV31" s="13"/>
      <c r="AW31" s="434"/>
      <c r="AX31" s="413"/>
      <c r="AY31" s="413"/>
      <c r="AZ31" s="13"/>
      <c r="BA31" s="434"/>
      <c r="BB31" s="413"/>
      <c r="BC31" s="413"/>
      <c r="BD31" s="13"/>
      <c r="BE31" s="434"/>
      <c r="BF31" s="413"/>
      <c r="BG31" s="413"/>
      <c r="BH31" s="13"/>
      <c r="BI31" s="434"/>
      <c r="BJ31" s="413"/>
      <c r="BK31" s="413"/>
      <c r="BL31" s="22"/>
      <c r="BM31" s="434"/>
      <c r="BN31" s="413"/>
      <c r="BO31" s="413"/>
      <c r="BP31" s="13"/>
      <c r="BQ31" s="29"/>
      <c r="BR31" s="13"/>
    </row>
    <row r="32" spans="1:70" ht="7.5" customHeight="1">
      <c r="A32" s="16"/>
      <c r="B32" s="486" t="s">
        <v>117</v>
      </c>
      <c r="C32" s="346"/>
      <c r="D32" s="228">
        <f>SUM(K32+N32,IF(OR(Таблицы!F191=17,Таблицы!F192=17),Таблицы!L52,0))</f>
        <v>5</v>
      </c>
      <c r="E32" s="228"/>
      <c r="F32" s="439"/>
      <c r="G32" s="13"/>
      <c r="H32" s="354" t="str">
        <f>INDEX(Таблицы!F2:L11,Таблицы!J1,4)</f>
        <v>1/10</v>
      </c>
      <c r="I32" s="355"/>
      <c r="J32" s="356"/>
      <c r="K32" s="287">
        <f>INDEX(Таблицы!AF2:AL10,Таблицы!J1,4)</f>
        <v>5</v>
      </c>
      <c r="L32" s="287"/>
      <c r="M32" s="287"/>
      <c r="N32" s="227"/>
      <c r="O32" s="227"/>
      <c r="P32" s="227"/>
      <c r="Q32" s="13"/>
      <c r="R32" s="448" t="s">
        <v>270</v>
      </c>
      <c r="S32" s="449"/>
      <c r="T32" s="449"/>
      <c r="U32" s="449"/>
      <c r="V32" s="449"/>
      <c r="W32" s="449"/>
      <c r="X32" s="450"/>
      <c r="Y32" s="29"/>
      <c r="Z32" s="19"/>
      <c r="AA32" s="15"/>
      <c r="AB32" s="15"/>
      <c r="AC32" s="172"/>
      <c r="AD32" s="172"/>
      <c r="AE32" s="172"/>
      <c r="AF32" s="172"/>
      <c r="AG32" s="172"/>
      <c r="AH32" s="172"/>
      <c r="AI32" s="172"/>
      <c r="AJ32" s="172"/>
      <c r="AK32" s="435"/>
      <c r="AL32" s="435"/>
      <c r="AM32" s="13"/>
      <c r="AN32" s="228"/>
      <c r="AO32" s="228"/>
      <c r="AP32" s="436"/>
      <c r="AQ32" s="436"/>
      <c r="AR32" s="13"/>
      <c r="AS32" s="13"/>
      <c r="AT32" s="228"/>
      <c r="AU32" s="228"/>
      <c r="AV32" s="13"/>
      <c r="AW32" s="434"/>
      <c r="AX32" s="413"/>
      <c r="AY32" s="413"/>
      <c r="AZ32" s="13"/>
      <c r="BA32" s="434"/>
      <c r="BB32" s="413"/>
      <c r="BC32" s="413"/>
      <c r="BD32" s="13"/>
      <c r="BE32" s="434"/>
      <c r="BF32" s="413"/>
      <c r="BG32" s="413"/>
      <c r="BH32" s="13"/>
      <c r="BI32" s="434"/>
      <c r="BJ32" s="413"/>
      <c r="BK32" s="413"/>
      <c r="BL32" s="22"/>
      <c r="BM32" s="434"/>
      <c r="BN32" s="413"/>
      <c r="BO32" s="413"/>
      <c r="BP32" s="13"/>
      <c r="BQ32" s="29"/>
      <c r="BR32" s="13"/>
    </row>
    <row r="33" spans="1:70" ht="7.5" customHeight="1" thickBot="1">
      <c r="A33" s="16"/>
      <c r="B33" s="487"/>
      <c r="C33" s="347"/>
      <c r="D33" s="228"/>
      <c r="E33" s="228"/>
      <c r="F33" s="439"/>
      <c r="G33" s="13"/>
      <c r="H33" s="357"/>
      <c r="I33" s="358"/>
      <c r="J33" s="359"/>
      <c r="K33" s="228"/>
      <c r="L33" s="228"/>
      <c r="M33" s="228"/>
      <c r="N33" s="227"/>
      <c r="O33" s="227"/>
      <c r="P33" s="227"/>
      <c r="Q33" s="13"/>
      <c r="R33" s="451"/>
      <c r="S33" s="452"/>
      <c r="T33" s="452"/>
      <c r="U33" s="452"/>
      <c r="V33" s="452"/>
      <c r="W33" s="452"/>
      <c r="X33" s="453"/>
      <c r="Y33" s="29"/>
      <c r="Z33" s="19"/>
      <c r="AA33" s="15"/>
      <c r="AB33" s="15"/>
      <c r="AC33" s="172" t="s">
        <v>86</v>
      </c>
      <c r="AD33" s="172"/>
      <c r="AE33" s="172"/>
      <c r="AF33" s="172"/>
      <c r="AG33" s="172"/>
      <c r="AH33" s="172"/>
      <c r="AI33" s="172"/>
      <c r="AJ33" s="172"/>
      <c r="AK33" s="435">
        <f>SUM(AN33:AQ34)+AT33</f>
        <v>15</v>
      </c>
      <c r="AL33" s="435"/>
      <c r="AM33" s="13"/>
      <c r="AN33" s="228">
        <f>IF(D36=0,"",(D34*3)+Таблицы!M189+Таблицы!U189)</f>
        <v>15</v>
      </c>
      <c r="AO33" s="228"/>
      <c r="AP33" s="436"/>
      <c r="AQ33" s="436"/>
      <c r="AR33" s="13"/>
      <c r="AS33" s="13"/>
      <c r="AT33" s="287">
        <f>IF(Таблицы!M189=20,SUM(AX33*2,BB33*2/2,INT(BF33*2/3),INT(BJ33*2/4),INT(BN33*2/5)),SUM(AX33,INT(BB33/2),INT(BF33/3),INT(BJ33/4),INT(BN33/5)))</f>
        <v>0</v>
      </c>
      <c r="AU33" s="287"/>
      <c r="AV33" s="13"/>
      <c r="AW33" s="434"/>
      <c r="AX33" s="413"/>
      <c r="AY33" s="413"/>
      <c r="AZ33" s="13"/>
      <c r="BA33" s="434"/>
      <c r="BB33" s="413"/>
      <c r="BC33" s="413"/>
      <c r="BD33" s="13"/>
      <c r="BE33" s="434"/>
      <c r="BF33" s="413"/>
      <c r="BG33" s="413"/>
      <c r="BH33" s="13"/>
      <c r="BI33" s="434"/>
      <c r="BJ33" s="413"/>
      <c r="BK33" s="413"/>
      <c r="BL33" s="22"/>
      <c r="BM33" s="434"/>
      <c r="BN33" s="413"/>
      <c r="BO33" s="413"/>
      <c r="BP33" s="13"/>
      <c r="BQ33" s="29"/>
      <c r="BR33" s="13"/>
    </row>
    <row r="34" spans="1:70" ht="7.5" customHeight="1">
      <c r="A34" s="16"/>
      <c r="B34" s="486" t="s">
        <v>118</v>
      </c>
      <c r="C34" s="346"/>
      <c r="D34" s="228">
        <f>SUM(K34+N34,IF(OR(Таблицы!F191=24,Таблицы!F192=24),Таблицы!L59,0),IF(OR(Таблицы!F191=17,Таблицы!F192=17),Таблицы!L53,0))</f>
        <v>5</v>
      </c>
      <c r="E34" s="228"/>
      <c r="F34" s="439"/>
      <c r="G34" s="13"/>
      <c r="H34" s="354" t="str">
        <f>INDEX(Таблицы!F2:L11,Таблицы!J1,5)</f>
        <v>1/10</v>
      </c>
      <c r="I34" s="355"/>
      <c r="J34" s="356"/>
      <c r="K34" s="287">
        <f>INDEX(Таблицы!AF2:AL10,Таблицы!J1,5)</f>
        <v>5</v>
      </c>
      <c r="L34" s="287"/>
      <c r="M34" s="287"/>
      <c r="N34" s="227"/>
      <c r="O34" s="227"/>
      <c r="P34" s="227"/>
      <c r="Q34" s="13"/>
      <c r="R34" s="254"/>
      <c r="S34" s="254"/>
      <c r="T34" s="254"/>
      <c r="U34" s="254"/>
      <c r="V34" s="254"/>
      <c r="W34" s="254"/>
      <c r="X34" s="254"/>
      <c r="Y34" s="29"/>
      <c r="Z34" s="19"/>
      <c r="AA34" s="15"/>
      <c r="AB34" s="15"/>
      <c r="AC34" s="172"/>
      <c r="AD34" s="172"/>
      <c r="AE34" s="172"/>
      <c r="AF34" s="172"/>
      <c r="AG34" s="172"/>
      <c r="AH34" s="172"/>
      <c r="AI34" s="172"/>
      <c r="AJ34" s="172"/>
      <c r="AK34" s="435"/>
      <c r="AL34" s="435"/>
      <c r="AM34" s="13"/>
      <c r="AN34" s="228"/>
      <c r="AO34" s="228"/>
      <c r="AP34" s="436"/>
      <c r="AQ34" s="436"/>
      <c r="AR34" s="13"/>
      <c r="AS34" s="13"/>
      <c r="AT34" s="228"/>
      <c r="AU34" s="228"/>
      <c r="AV34" s="13"/>
      <c r="AW34" s="434"/>
      <c r="AX34" s="413"/>
      <c r="AY34" s="413"/>
      <c r="AZ34" s="13"/>
      <c r="BA34" s="434"/>
      <c r="BB34" s="413"/>
      <c r="BC34" s="413"/>
      <c r="BD34" s="13"/>
      <c r="BE34" s="434"/>
      <c r="BF34" s="413"/>
      <c r="BG34" s="413"/>
      <c r="BH34" s="13"/>
      <c r="BI34" s="434"/>
      <c r="BJ34" s="413"/>
      <c r="BK34" s="413"/>
      <c r="BL34" s="22"/>
      <c r="BM34" s="434"/>
      <c r="BN34" s="413"/>
      <c r="BO34" s="413"/>
      <c r="BP34" s="13"/>
      <c r="BQ34" s="29"/>
      <c r="BR34" s="13"/>
    </row>
    <row r="35" spans="1:70" ht="7.5" customHeight="1" thickBot="1">
      <c r="A35" s="16"/>
      <c r="B35" s="487"/>
      <c r="C35" s="347"/>
      <c r="D35" s="228"/>
      <c r="E35" s="228"/>
      <c r="F35" s="439"/>
      <c r="G35" s="13"/>
      <c r="H35" s="357"/>
      <c r="I35" s="358"/>
      <c r="J35" s="359"/>
      <c r="K35" s="228"/>
      <c r="L35" s="228"/>
      <c r="M35" s="228"/>
      <c r="N35" s="227"/>
      <c r="O35" s="227"/>
      <c r="P35" s="227"/>
      <c r="Q35" s="13"/>
      <c r="R35" s="468"/>
      <c r="S35" s="468"/>
      <c r="T35" s="468"/>
      <c r="U35" s="468"/>
      <c r="V35" s="468"/>
      <c r="W35" s="468"/>
      <c r="X35" s="468"/>
      <c r="Y35" s="29"/>
      <c r="Z35" s="19"/>
      <c r="AA35" s="15"/>
      <c r="AB35" s="15"/>
      <c r="AC35" s="172" t="s">
        <v>87</v>
      </c>
      <c r="AD35" s="172"/>
      <c r="AE35" s="172"/>
      <c r="AF35" s="172"/>
      <c r="AG35" s="172"/>
      <c r="AH35" s="172"/>
      <c r="AI35" s="172"/>
      <c r="AJ35" s="172"/>
      <c r="AK35" s="435">
        <f>SUM(AN35:AQ36)+AT35</f>
        <v>20</v>
      </c>
      <c r="AL35" s="435"/>
      <c r="AM35" s="13"/>
      <c r="AN35" s="228">
        <f>IF(D36=0,"",(2*SUM(D28,D36)+Таблицы!M190+Таблицы!U190))</f>
        <v>20</v>
      </c>
      <c r="AO35" s="228"/>
      <c r="AP35" s="436"/>
      <c r="AQ35" s="436"/>
      <c r="AR35" s="13"/>
      <c r="AS35" s="13"/>
      <c r="AT35" s="287">
        <f>IF(Таблицы!M190=20,SUM(AX35*2,BB35*2/2,INT(BF35*2/3),INT(BJ35*2/4),INT(BN35*2/5)),SUM(AX35,INT(BB35/2),INT(BF35/3),INT(BJ35/4),INT(BN35/5)))</f>
        <v>0</v>
      </c>
      <c r="AU35" s="287"/>
      <c r="AV35" s="13"/>
      <c r="AW35" s="434"/>
      <c r="AX35" s="413"/>
      <c r="AY35" s="413"/>
      <c r="AZ35" s="13"/>
      <c r="BA35" s="434"/>
      <c r="BB35" s="413"/>
      <c r="BC35" s="413"/>
      <c r="BD35" s="13"/>
      <c r="BE35" s="434"/>
      <c r="BF35" s="413"/>
      <c r="BG35" s="413"/>
      <c r="BH35" s="13"/>
      <c r="BI35" s="434"/>
      <c r="BJ35" s="413"/>
      <c r="BK35" s="413"/>
      <c r="BL35" s="22"/>
      <c r="BM35" s="434"/>
      <c r="BN35" s="413"/>
      <c r="BO35" s="413"/>
      <c r="BP35" s="13"/>
      <c r="BQ35" s="29"/>
      <c r="BR35" s="13"/>
    </row>
    <row r="36" spans="1:70" ht="7.5" customHeight="1">
      <c r="A36" s="16"/>
      <c r="B36" s="486" t="s">
        <v>119</v>
      </c>
      <c r="C36" s="346"/>
      <c r="D36" s="228">
        <f>SUM(K36+N36,IF(OR(Таблицы!F191=4,Таблицы!F192=4),Таблицы!L40,0),IF(OR(Таблицы!F191=17,Таблицы!F192=17),Таблицы!L54,0))</f>
        <v>5</v>
      </c>
      <c r="E36" s="228"/>
      <c r="F36" s="439"/>
      <c r="G36" s="13"/>
      <c r="H36" s="354" t="str">
        <f>INDEX(Таблицы!F2:L11,Таблицы!J1,6)</f>
        <v>1/10</v>
      </c>
      <c r="I36" s="355"/>
      <c r="J36" s="356"/>
      <c r="K36" s="287">
        <f>INDEX(Таблицы!AF2:AL10,Таблицы!J1,6)</f>
        <v>5</v>
      </c>
      <c r="L36" s="287"/>
      <c r="M36" s="287"/>
      <c r="N36" s="342"/>
      <c r="O36" s="437"/>
      <c r="P36" s="343"/>
      <c r="Q36" s="13"/>
      <c r="R36" s="448" t="s">
        <v>273</v>
      </c>
      <c r="S36" s="449"/>
      <c r="T36" s="449"/>
      <c r="U36" s="449"/>
      <c r="V36" s="449"/>
      <c r="W36" s="449"/>
      <c r="X36" s="450"/>
      <c r="Y36" s="29"/>
      <c r="Z36" s="19"/>
      <c r="AA36" s="15"/>
      <c r="AB36" s="15"/>
      <c r="AC36" s="172"/>
      <c r="AD36" s="172"/>
      <c r="AE36" s="172"/>
      <c r="AF36" s="172"/>
      <c r="AG36" s="172"/>
      <c r="AH36" s="172"/>
      <c r="AI36" s="172"/>
      <c r="AJ36" s="172"/>
      <c r="AK36" s="435"/>
      <c r="AL36" s="435"/>
      <c r="AM36" s="13"/>
      <c r="AN36" s="228"/>
      <c r="AO36" s="228"/>
      <c r="AP36" s="436"/>
      <c r="AQ36" s="436"/>
      <c r="AR36" s="13"/>
      <c r="AS36" s="13"/>
      <c r="AT36" s="228"/>
      <c r="AU36" s="228"/>
      <c r="AV36" s="13"/>
      <c r="AW36" s="434"/>
      <c r="AX36" s="413"/>
      <c r="AY36" s="413"/>
      <c r="AZ36" s="13"/>
      <c r="BA36" s="434"/>
      <c r="BB36" s="413"/>
      <c r="BC36" s="413"/>
      <c r="BD36" s="13"/>
      <c r="BE36" s="434"/>
      <c r="BF36" s="413"/>
      <c r="BG36" s="413"/>
      <c r="BH36" s="13"/>
      <c r="BI36" s="434"/>
      <c r="BJ36" s="413"/>
      <c r="BK36" s="413"/>
      <c r="BL36" s="22"/>
      <c r="BM36" s="434"/>
      <c r="BN36" s="413"/>
      <c r="BO36" s="413"/>
      <c r="BP36" s="13"/>
      <c r="BQ36" s="29"/>
      <c r="BR36" s="13"/>
    </row>
    <row r="37" spans="1:70" ht="7.5" customHeight="1" thickBot="1">
      <c r="A37" s="16"/>
      <c r="B37" s="487"/>
      <c r="C37" s="347"/>
      <c r="D37" s="228"/>
      <c r="E37" s="228"/>
      <c r="F37" s="439"/>
      <c r="G37" s="13"/>
      <c r="H37" s="357"/>
      <c r="I37" s="358"/>
      <c r="J37" s="359"/>
      <c r="K37" s="228"/>
      <c r="L37" s="228"/>
      <c r="M37" s="228"/>
      <c r="N37" s="344"/>
      <c r="O37" s="438"/>
      <c r="P37" s="345"/>
      <c r="Q37" s="13"/>
      <c r="R37" s="451"/>
      <c r="S37" s="452"/>
      <c r="T37" s="452"/>
      <c r="U37" s="452"/>
      <c r="V37" s="452"/>
      <c r="W37" s="452"/>
      <c r="X37" s="453"/>
      <c r="Y37" s="29"/>
      <c r="Z37" s="19"/>
      <c r="AA37" s="15"/>
      <c r="AB37" s="15"/>
      <c r="AC37" s="172" t="s">
        <v>88</v>
      </c>
      <c r="AD37" s="172"/>
      <c r="AE37" s="172"/>
      <c r="AF37" s="172"/>
      <c r="AG37" s="172"/>
      <c r="AH37" s="172"/>
      <c r="AI37" s="172"/>
      <c r="AJ37" s="172"/>
      <c r="AK37" s="435">
        <f>SUM(AN37:AQ38)+AT37</f>
        <v>25</v>
      </c>
      <c r="AL37" s="435"/>
      <c r="AM37" s="13"/>
      <c r="AN37" s="228">
        <f>IF(D36=0,"",(D32*5)+Таблицы!M191+Таблицы!U191)</f>
        <v>25</v>
      </c>
      <c r="AO37" s="228"/>
      <c r="AP37" s="436"/>
      <c r="AQ37" s="436"/>
      <c r="AR37" s="13"/>
      <c r="AS37" s="13"/>
      <c r="AT37" s="287">
        <f>IF(Таблицы!M191=20,SUM(AX37*2,BB37*2/2,INT(BF37*2/3),INT(BJ37*2/4),INT(BN37*2/5)),SUM(AX37,INT(BB37/2),INT(BF37/3),INT(BJ37/4),INT(BN37/5)))</f>
        <v>0</v>
      </c>
      <c r="AU37" s="287"/>
      <c r="AV37" s="13"/>
      <c r="AW37" s="434"/>
      <c r="AX37" s="413"/>
      <c r="AY37" s="413"/>
      <c r="AZ37" s="13"/>
      <c r="BA37" s="434"/>
      <c r="BB37" s="413"/>
      <c r="BC37" s="413"/>
      <c r="BD37" s="13"/>
      <c r="BE37" s="434"/>
      <c r="BF37" s="413"/>
      <c r="BG37" s="413"/>
      <c r="BH37" s="13"/>
      <c r="BI37" s="434"/>
      <c r="BJ37" s="413"/>
      <c r="BK37" s="413"/>
      <c r="BL37" s="22"/>
      <c r="BM37" s="434"/>
      <c r="BN37" s="413"/>
      <c r="BO37" s="413"/>
      <c r="BP37" s="13"/>
      <c r="BQ37" s="29"/>
      <c r="BR37" s="13"/>
    </row>
    <row r="38" spans="1:70" ht="7.5" customHeight="1">
      <c r="A38" s="19"/>
      <c r="B38" s="462" t="s">
        <v>120</v>
      </c>
      <c r="C38" s="172"/>
      <c r="D38" s="228">
        <f>SUM(K38+N38,IF(OR(Таблицы!F191=17,Таблицы!F192=17),Таблицы!L55,0))</f>
        <v>5</v>
      </c>
      <c r="E38" s="228"/>
      <c r="F38" s="439"/>
      <c r="G38" s="13"/>
      <c r="H38" s="354" t="str">
        <f>INDEX(Таблицы!F2:L11,Таблицы!J1,7)</f>
        <v>1/10</v>
      </c>
      <c r="I38" s="355"/>
      <c r="J38" s="356"/>
      <c r="K38" s="287">
        <f>INDEX(Таблицы!AF2:AL10,Таблицы!J1,7)</f>
        <v>5</v>
      </c>
      <c r="L38" s="287"/>
      <c r="M38" s="287"/>
      <c r="N38" s="227"/>
      <c r="O38" s="227"/>
      <c r="P38" s="227"/>
      <c r="Q38" s="13"/>
      <c r="R38" s="469"/>
      <c r="S38" s="469"/>
      <c r="T38" s="469"/>
      <c r="U38" s="469"/>
      <c r="V38" s="469"/>
      <c r="W38" s="469"/>
      <c r="X38" s="469"/>
      <c r="Y38" s="29"/>
      <c r="Z38" s="19"/>
      <c r="AA38" s="15"/>
      <c r="AB38" s="15"/>
      <c r="AC38" s="172"/>
      <c r="AD38" s="172"/>
      <c r="AE38" s="172"/>
      <c r="AF38" s="172"/>
      <c r="AG38" s="172"/>
      <c r="AH38" s="172"/>
      <c r="AI38" s="172"/>
      <c r="AJ38" s="172"/>
      <c r="AK38" s="435"/>
      <c r="AL38" s="435"/>
      <c r="AM38" s="13"/>
      <c r="AN38" s="228"/>
      <c r="AO38" s="228"/>
      <c r="AP38" s="436"/>
      <c r="AQ38" s="436"/>
      <c r="AR38" s="13"/>
      <c r="AS38" s="13"/>
      <c r="AT38" s="228"/>
      <c r="AU38" s="228"/>
      <c r="AV38" s="13"/>
      <c r="AW38" s="434"/>
      <c r="AX38" s="413"/>
      <c r="AY38" s="413"/>
      <c r="AZ38" s="13"/>
      <c r="BA38" s="434"/>
      <c r="BB38" s="413"/>
      <c r="BC38" s="413"/>
      <c r="BD38" s="13"/>
      <c r="BE38" s="434"/>
      <c r="BF38" s="413"/>
      <c r="BG38" s="413"/>
      <c r="BH38" s="13"/>
      <c r="BI38" s="434"/>
      <c r="BJ38" s="413"/>
      <c r="BK38" s="413"/>
      <c r="BL38" s="22"/>
      <c r="BM38" s="434"/>
      <c r="BN38" s="413"/>
      <c r="BO38" s="413"/>
      <c r="BP38" s="13"/>
      <c r="BQ38" s="29"/>
      <c r="BR38" s="13"/>
    </row>
    <row r="39" spans="1:70" ht="7.5" customHeight="1" thickBot="1">
      <c r="A39" s="16"/>
      <c r="B39" s="463"/>
      <c r="C39" s="464"/>
      <c r="D39" s="440"/>
      <c r="E39" s="440"/>
      <c r="F39" s="441"/>
      <c r="G39" s="13"/>
      <c r="H39" s="357"/>
      <c r="I39" s="358"/>
      <c r="J39" s="359"/>
      <c r="K39" s="228"/>
      <c r="L39" s="228"/>
      <c r="M39" s="228"/>
      <c r="N39" s="227"/>
      <c r="O39" s="227"/>
      <c r="P39" s="227"/>
      <c r="Q39" s="13"/>
      <c r="R39" s="470"/>
      <c r="S39" s="470"/>
      <c r="T39" s="470"/>
      <c r="U39" s="470"/>
      <c r="V39" s="470"/>
      <c r="W39" s="470"/>
      <c r="X39" s="470"/>
      <c r="Y39" s="29"/>
      <c r="Z39" s="19"/>
      <c r="AA39" s="15"/>
      <c r="AB39" s="15"/>
      <c r="AC39" s="172" t="s">
        <v>89</v>
      </c>
      <c r="AD39" s="172"/>
      <c r="AE39" s="172"/>
      <c r="AF39" s="172"/>
      <c r="AG39" s="172"/>
      <c r="AH39" s="172"/>
      <c r="AI39" s="172"/>
      <c r="AJ39" s="172"/>
      <c r="AK39" s="435">
        <f>SUM(AN39:AQ40)+AT39</f>
        <v>20</v>
      </c>
      <c r="AL39" s="435"/>
      <c r="AM39" s="13"/>
      <c r="AN39" s="228">
        <f>IF(D36=0,"",(D32*4)+Таблицы!M192+Таблицы!U192)</f>
        <v>20</v>
      </c>
      <c r="AO39" s="228"/>
      <c r="AP39" s="436"/>
      <c r="AQ39" s="436"/>
      <c r="AR39" s="13"/>
      <c r="AS39" s="13"/>
      <c r="AT39" s="287">
        <f>IF(Таблицы!M192=20,SUM(AX39*2,BB39*2/2,INT(BF39*2/3),INT(BJ39*2/4),INT(BN39*2/5)),SUM(AX39,INT(BB39/2),INT(BF39/3),INT(BJ39/4),INT(BN39/5)))</f>
        <v>0</v>
      </c>
      <c r="AU39" s="287"/>
      <c r="AV39" s="13"/>
      <c r="AW39" s="434"/>
      <c r="AX39" s="413"/>
      <c r="AY39" s="413"/>
      <c r="AZ39" s="13"/>
      <c r="BA39" s="434"/>
      <c r="BB39" s="413"/>
      <c r="BC39" s="413"/>
      <c r="BD39" s="13"/>
      <c r="BE39" s="434"/>
      <c r="BF39" s="413"/>
      <c r="BG39" s="413"/>
      <c r="BH39" s="13"/>
      <c r="BI39" s="434"/>
      <c r="BJ39" s="413"/>
      <c r="BK39" s="413"/>
      <c r="BL39" s="22"/>
      <c r="BM39" s="434"/>
      <c r="BN39" s="413"/>
      <c r="BO39" s="413"/>
      <c r="BP39" s="13"/>
      <c r="BQ39" s="29"/>
      <c r="BR39" s="13"/>
    </row>
    <row r="40" spans="1:70" ht="7.5" customHeight="1">
      <c r="A40" s="65"/>
      <c r="B40" s="67"/>
      <c r="C40" s="67"/>
      <c r="D40" s="46"/>
      <c r="E40" s="46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63"/>
      <c r="X40" s="63"/>
      <c r="Y40" s="66"/>
      <c r="Z40" s="19"/>
      <c r="AA40" s="15"/>
      <c r="AB40" s="15"/>
      <c r="AC40" s="172"/>
      <c r="AD40" s="172"/>
      <c r="AE40" s="172"/>
      <c r="AF40" s="172"/>
      <c r="AG40" s="172"/>
      <c r="AH40" s="172"/>
      <c r="AI40" s="172"/>
      <c r="AJ40" s="172"/>
      <c r="AK40" s="435"/>
      <c r="AL40" s="435"/>
      <c r="AM40" s="13"/>
      <c r="AN40" s="228"/>
      <c r="AO40" s="228"/>
      <c r="AP40" s="436"/>
      <c r="AQ40" s="436"/>
      <c r="AR40" s="13"/>
      <c r="AS40" s="13"/>
      <c r="AT40" s="228"/>
      <c r="AU40" s="228"/>
      <c r="AV40" s="13"/>
      <c r="AW40" s="434"/>
      <c r="AX40" s="413"/>
      <c r="AY40" s="413"/>
      <c r="AZ40" s="13"/>
      <c r="BA40" s="434"/>
      <c r="BB40" s="413"/>
      <c r="BC40" s="413"/>
      <c r="BD40" s="13"/>
      <c r="BE40" s="434"/>
      <c r="BF40" s="413"/>
      <c r="BG40" s="413"/>
      <c r="BH40" s="13"/>
      <c r="BI40" s="434"/>
      <c r="BJ40" s="413"/>
      <c r="BK40" s="413"/>
      <c r="BL40" s="13"/>
      <c r="BM40" s="434"/>
      <c r="BN40" s="413"/>
      <c r="BO40" s="413"/>
      <c r="BP40" s="13"/>
      <c r="BQ40" s="29"/>
      <c r="BR40" s="13"/>
    </row>
    <row r="41" spans="1:70" ht="7.5" customHeight="1" thickBot="1">
      <c r="A41" s="19"/>
      <c r="B41" s="7"/>
      <c r="C41" s="7"/>
      <c r="D41" s="13"/>
      <c r="E41" s="13"/>
      <c r="F41" s="3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4"/>
      <c r="X41" s="4"/>
      <c r="Y41" s="29"/>
      <c r="Z41" s="19"/>
      <c r="AA41" s="15"/>
      <c r="AB41" s="15"/>
      <c r="AC41" s="172" t="s">
        <v>90</v>
      </c>
      <c r="AD41" s="172"/>
      <c r="AE41" s="172"/>
      <c r="AF41" s="172"/>
      <c r="AG41" s="172"/>
      <c r="AH41" s="172"/>
      <c r="AI41" s="172"/>
      <c r="AJ41" s="172"/>
      <c r="AK41" s="435">
        <f>SUM(AN41:AQ42)+AT41</f>
        <v>25</v>
      </c>
      <c r="AL41" s="435"/>
      <c r="AM41" s="13"/>
      <c r="AN41" s="228">
        <f>IF(D36=0,"",(D38*5)+Таблицы!M193+Таблицы!U193)</f>
        <v>25</v>
      </c>
      <c r="AO41" s="228"/>
      <c r="AP41" s="436"/>
      <c r="AQ41" s="436"/>
      <c r="AR41" s="13"/>
      <c r="AS41" s="13"/>
      <c r="AT41" s="287">
        <f>IF(Таблицы!M193=20,SUM(AX41*2,BB41*2/2,INT(BF41*2/3),INT(BJ41*2/4),INT(BN41*2/5)),SUM(AX41,INT(BB41/2),INT(BF41/3),INT(BJ41/4),INT(BN41/5)))</f>
        <v>0</v>
      </c>
      <c r="AU41" s="287"/>
      <c r="AV41" s="13"/>
      <c r="AW41" s="434"/>
      <c r="AX41" s="413"/>
      <c r="AY41" s="413"/>
      <c r="AZ41" s="13"/>
      <c r="BA41" s="434"/>
      <c r="BB41" s="413"/>
      <c r="BC41" s="413"/>
      <c r="BD41" s="13"/>
      <c r="BE41" s="434"/>
      <c r="BF41" s="413"/>
      <c r="BG41" s="413"/>
      <c r="BH41" s="13"/>
      <c r="BI41" s="434"/>
      <c r="BJ41" s="413"/>
      <c r="BK41" s="413"/>
      <c r="BL41" s="13"/>
      <c r="BM41" s="434"/>
      <c r="BN41" s="413"/>
      <c r="BO41" s="413"/>
      <c r="BP41" s="13"/>
      <c r="BQ41" s="29"/>
      <c r="BR41" s="13"/>
    </row>
    <row r="42" spans="1:70" ht="7.5" customHeight="1">
      <c r="A42" s="19"/>
      <c r="B42" s="423" t="s">
        <v>257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 t="s">
        <v>222</v>
      </c>
      <c r="P42" s="424"/>
      <c r="Q42" s="425"/>
      <c r="R42" s="13"/>
      <c r="S42" s="454" t="s">
        <v>74</v>
      </c>
      <c r="T42" s="455"/>
      <c r="U42" s="455"/>
      <c r="V42" s="458" t="s">
        <v>8</v>
      </c>
      <c r="W42" s="458"/>
      <c r="X42" s="459"/>
      <c r="Y42" s="29"/>
      <c r="Z42" s="19"/>
      <c r="AA42" s="15"/>
      <c r="AB42" s="15"/>
      <c r="AC42" s="172"/>
      <c r="AD42" s="172"/>
      <c r="AE42" s="172"/>
      <c r="AF42" s="172"/>
      <c r="AG42" s="172"/>
      <c r="AH42" s="172"/>
      <c r="AI42" s="172"/>
      <c r="AJ42" s="172"/>
      <c r="AK42" s="435"/>
      <c r="AL42" s="435"/>
      <c r="AM42" s="13"/>
      <c r="AN42" s="228"/>
      <c r="AO42" s="228"/>
      <c r="AP42" s="436"/>
      <c r="AQ42" s="436"/>
      <c r="AR42" s="13"/>
      <c r="AS42" s="13"/>
      <c r="AT42" s="228"/>
      <c r="AU42" s="228"/>
      <c r="AV42" s="13"/>
      <c r="AW42" s="434"/>
      <c r="AX42" s="413"/>
      <c r="AY42" s="413"/>
      <c r="AZ42" s="13"/>
      <c r="BA42" s="434"/>
      <c r="BB42" s="413"/>
      <c r="BC42" s="413"/>
      <c r="BD42" s="13"/>
      <c r="BE42" s="434"/>
      <c r="BF42" s="413"/>
      <c r="BG42" s="413"/>
      <c r="BH42" s="13"/>
      <c r="BI42" s="434"/>
      <c r="BJ42" s="413"/>
      <c r="BK42" s="413"/>
      <c r="BL42" s="13"/>
      <c r="BM42" s="434"/>
      <c r="BN42" s="413"/>
      <c r="BO42" s="413"/>
      <c r="BP42" s="13"/>
      <c r="BQ42" s="29"/>
      <c r="BR42" s="13"/>
    </row>
    <row r="43" spans="1:70" ht="7.5" customHeight="1" thickBot="1">
      <c r="A43" s="16"/>
      <c r="B43" s="426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8"/>
      <c r="R43" s="13"/>
      <c r="S43" s="456"/>
      <c r="T43" s="457"/>
      <c r="U43" s="457"/>
      <c r="V43" s="460"/>
      <c r="W43" s="460"/>
      <c r="X43" s="461"/>
      <c r="Y43" s="29"/>
      <c r="Z43" s="19"/>
      <c r="AA43" s="15"/>
      <c r="AB43" s="15"/>
      <c r="AC43" s="172" t="s">
        <v>91</v>
      </c>
      <c r="AD43" s="172"/>
      <c r="AE43" s="172"/>
      <c r="AF43" s="172"/>
      <c r="AG43" s="172"/>
      <c r="AH43" s="172"/>
      <c r="AI43" s="172"/>
      <c r="AJ43" s="172"/>
      <c r="AK43" s="435">
        <f>SUM(AN43:AQ44)+AT43</f>
        <v>20</v>
      </c>
      <c r="AL43" s="435"/>
      <c r="AM43" s="13"/>
      <c r="AN43" s="228">
        <f>IF(D36=0,"",(2*SUM(D34,D30)+Таблицы!M194+Таблицы!U194))</f>
        <v>20</v>
      </c>
      <c r="AO43" s="228"/>
      <c r="AP43" s="436"/>
      <c r="AQ43" s="436"/>
      <c r="AR43" s="13"/>
      <c r="AS43" s="13"/>
      <c r="AT43" s="287">
        <f>IF(Таблицы!M194=20,SUM(AX43*2,BB43*2/2,INT(BF43*2/3),INT(BJ43*2/4),INT(BN43*2/5)),SUM(AX43,INT(BB43/2),INT(BF43/3),INT(BJ43/4),INT(BN43/5)))</f>
        <v>0</v>
      </c>
      <c r="AU43" s="287"/>
      <c r="AV43" s="13"/>
      <c r="AW43" s="434"/>
      <c r="AX43" s="413"/>
      <c r="AY43" s="413"/>
      <c r="AZ43" s="13"/>
      <c r="BA43" s="434"/>
      <c r="BB43" s="413"/>
      <c r="BC43" s="413"/>
      <c r="BD43" s="13"/>
      <c r="BE43" s="434"/>
      <c r="BF43" s="413"/>
      <c r="BG43" s="413"/>
      <c r="BH43" s="13"/>
      <c r="BI43" s="434"/>
      <c r="BJ43" s="413"/>
      <c r="BK43" s="413"/>
      <c r="BL43" s="13"/>
      <c r="BM43" s="434"/>
      <c r="BN43" s="413"/>
      <c r="BO43" s="413"/>
      <c r="BP43" s="13"/>
      <c r="BQ43" s="29"/>
      <c r="BR43" s="13"/>
    </row>
    <row r="44" spans="1:70" ht="7.5" customHeight="1">
      <c r="A44" s="19"/>
      <c r="B44" s="336" t="s">
        <v>72</v>
      </c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287">
        <f>SUM(S44:X45)</f>
        <v>30</v>
      </c>
      <c r="P44" s="287"/>
      <c r="Q44" s="465"/>
      <c r="R44" s="13"/>
      <c r="S44" s="472">
        <f>15+(D26+(2*D30))+G20*(B16-1)+INDEX(Таблицы!T2:T10,Таблицы!J1,1)</f>
        <v>30</v>
      </c>
      <c r="T44" s="472"/>
      <c r="U44" s="472"/>
      <c r="V44" s="254"/>
      <c r="W44" s="254"/>
      <c r="X44" s="254"/>
      <c r="Y44" s="29"/>
      <c r="Z44" s="19"/>
      <c r="AA44" s="15"/>
      <c r="AB44" s="8"/>
      <c r="AC44" s="172"/>
      <c r="AD44" s="172"/>
      <c r="AE44" s="172"/>
      <c r="AF44" s="172"/>
      <c r="AG44" s="172"/>
      <c r="AH44" s="172"/>
      <c r="AI44" s="172"/>
      <c r="AJ44" s="172"/>
      <c r="AK44" s="435"/>
      <c r="AL44" s="435"/>
      <c r="AM44" s="13"/>
      <c r="AN44" s="228"/>
      <c r="AO44" s="228"/>
      <c r="AP44" s="436"/>
      <c r="AQ44" s="436"/>
      <c r="AR44" s="15"/>
      <c r="AS44" s="13"/>
      <c r="AT44" s="228"/>
      <c r="AU44" s="228"/>
      <c r="AV44" s="13"/>
      <c r="AW44" s="434"/>
      <c r="AX44" s="413"/>
      <c r="AY44" s="413"/>
      <c r="AZ44" s="13"/>
      <c r="BA44" s="434"/>
      <c r="BB44" s="413"/>
      <c r="BC44" s="413"/>
      <c r="BD44" s="13"/>
      <c r="BE44" s="434"/>
      <c r="BF44" s="413"/>
      <c r="BG44" s="413"/>
      <c r="BH44" s="13"/>
      <c r="BI44" s="434"/>
      <c r="BJ44" s="413"/>
      <c r="BK44" s="413"/>
      <c r="BL44" s="13"/>
      <c r="BM44" s="434"/>
      <c r="BN44" s="413"/>
      <c r="BO44" s="413"/>
      <c r="BP44" s="13"/>
      <c r="BQ44" s="29"/>
      <c r="BR44" s="13"/>
    </row>
    <row r="45" spans="1:81" ht="7.5" customHeight="1">
      <c r="A45" s="16"/>
      <c r="B45" s="408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228"/>
      <c r="P45" s="228"/>
      <c r="Q45" s="439"/>
      <c r="R45" s="13"/>
      <c r="S45" s="473"/>
      <c r="T45" s="473"/>
      <c r="U45" s="473"/>
      <c r="V45" s="227"/>
      <c r="W45" s="227"/>
      <c r="X45" s="227"/>
      <c r="Y45" s="29"/>
      <c r="Z45" s="65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66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</row>
    <row r="46" spans="1:70" ht="7.5" customHeight="1" thickBot="1">
      <c r="A46" s="19"/>
      <c r="B46" s="408" t="s">
        <v>259</v>
      </c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228">
        <f>SUM(S46:X47)</f>
        <v>150</v>
      </c>
      <c r="P46" s="228"/>
      <c r="Q46" s="439"/>
      <c r="R46" s="13"/>
      <c r="S46" s="471">
        <f>IF(OR(Таблицы!F191=4,Таблицы!F192=4),D26*15,25+(D26*25))</f>
        <v>150</v>
      </c>
      <c r="T46" s="471"/>
      <c r="U46" s="471"/>
      <c r="V46" s="227"/>
      <c r="W46" s="227"/>
      <c r="X46" s="227"/>
      <c r="Y46" s="29"/>
      <c r="Z46" s="19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5"/>
      <c r="AX46" s="15"/>
      <c r="AY46" s="15"/>
      <c r="AZ46" s="15"/>
      <c r="BA46" s="15"/>
      <c r="BB46" s="15"/>
      <c r="BC46" s="15"/>
      <c r="BD46" s="15"/>
      <c r="BE46" s="13"/>
      <c r="BF46" s="13"/>
      <c r="BG46" s="13"/>
      <c r="BH46" s="15"/>
      <c r="BI46" s="15"/>
      <c r="BJ46" s="13"/>
      <c r="BK46" s="13"/>
      <c r="BL46" s="13"/>
      <c r="BM46" s="13"/>
      <c r="BN46" s="13"/>
      <c r="BO46" s="13"/>
      <c r="BP46" s="13"/>
      <c r="BQ46" s="29"/>
      <c r="BR46" s="13"/>
    </row>
    <row r="47" spans="1:70" ht="7.5" customHeight="1">
      <c r="A47" s="16"/>
      <c r="B47" s="408"/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228"/>
      <c r="P47" s="228"/>
      <c r="Q47" s="439"/>
      <c r="R47" s="13"/>
      <c r="S47" s="471"/>
      <c r="T47" s="471"/>
      <c r="U47" s="471"/>
      <c r="V47" s="227"/>
      <c r="W47" s="227"/>
      <c r="X47" s="227"/>
      <c r="Y47" s="29"/>
      <c r="Z47" s="19"/>
      <c r="AA47" s="13"/>
      <c r="AH47" s="176" t="s">
        <v>96</v>
      </c>
      <c r="AI47" s="177"/>
      <c r="AJ47" s="177"/>
      <c r="AK47" s="177"/>
      <c r="AL47" s="177"/>
      <c r="AM47" s="177"/>
      <c r="AN47" s="177"/>
      <c r="AO47" s="177"/>
      <c r="AP47" s="177"/>
      <c r="AQ47" s="177"/>
      <c r="AR47" s="178"/>
      <c r="AS47" s="23"/>
      <c r="AT47" s="402" t="s">
        <v>102</v>
      </c>
      <c r="AU47" s="263"/>
      <c r="AV47" s="263"/>
      <c r="AW47" s="263"/>
      <c r="AX47" s="263"/>
      <c r="AY47" s="263"/>
      <c r="AZ47" s="263"/>
      <c r="BA47" s="263"/>
      <c r="BB47" s="262" t="s">
        <v>276</v>
      </c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4"/>
      <c r="BP47" s="13"/>
      <c r="BQ47" s="29"/>
      <c r="BR47" s="13"/>
    </row>
    <row r="48" spans="1:70" ht="7.5" customHeight="1">
      <c r="A48" s="19"/>
      <c r="B48" s="408" t="s">
        <v>260</v>
      </c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228">
        <f>SUM(S48:X49)</f>
        <v>7</v>
      </c>
      <c r="P48" s="228"/>
      <c r="Q48" s="439"/>
      <c r="R48" s="13"/>
      <c r="S48" s="471">
        <f>IF(K26="","",SUM(ROUNDDOWN(5+(D36/2),0),IF(OR(Таблицы!F191=3,Таблицы!F192=3),Таблицы!L39,0)))</f>
        <v>7</v>
      </c>
      <c r="T48" s="471"/>
      <c r="U48" s="471"/>
      <c r="V48" s="227"/>
      <c r="W48" s="227"/>
      <c r="X48" s="227"/>
      <c r="Y48" s="29"/>
      <c r="Z48" s="19"/>
      <c r="AA48" s="4"/>
      <c r="AH48" s="179"/>
      <c r="AI48" s="180"/>
      <c r="AJ48" s="180"/>
      <c r="AK48" s="180"/>
      <c r="AL48" s="180"/>
      <c r="AM48" s="180"/>
      <c r="AN48" s="180"/>
      <c r="AO48" s="180"/>
      <c r="AP48" s="180"/>
      <c r="AQ48" s="180"/>
      <c r="AR48" s="181"/>
      <c r="AS48" s="23"/>
      <c r="AT48" s="403"/>
      <c r="AU48" s="266"/>
      <c r="AV48" s="266"/>
      <c r="AW48" s="266"/>
      <c r="AX48" s="266"/>
      <c r="AY48" s="266"/>
      <c r="AZ48" s="266"/>
      <c r="BA48" s="266"/>
      <c r="BB48" s="265"/>
      <c r="BC48" s="266"/>
      <c r="BD48" s="266"/>
      <c r="BE48" s="266"/>
      <c r="BF48" s="266"/>
      <c r="BG48" s="266"/>
      <c r="BH48" s="266"/>
      <c r="BI48" s="266"/>
      <c r="BJ48" s="266"/>
      <c r="BK48" s="266"/>
      <c r="BL48" s="266"/>
      <c r="BM48" s="266"/>
      <c r="BN48" s="266"/>
      <c r="BO48" s="267"/>
      <c r="BP48" s="13"/>
      <c r="BQ48" s="29"/>
      <c r="BR48" s="13"/>
    </row>
    <row r="49" spans="1:70" ht="7.5" customHeight="1" thickBot="1">
      <c r="A49" s="24"/>
      <c r="B49" s="40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228"/>
      <c r="P49" s="228"/>
      <c r="Q49" s="439"/>
      <c r="R49" s="13"/>
      <c r="S49" s="471"/>
      <c r="T49" s="471"/>
      <c r="U49" s="471"/>
      <c r="V49" s="227"/>
      <c r="W49" s="227"/>
      <c r="X49" s="227"/>
      <c r="Y49" s="29"/>
      <c r="Z49" s="3"/>
      <c r="AA49" s="4"/>
      <c r="AH49" s="173"/>
      <c r="AI49" s="174"/>
      <c r="AJ49" s="174"/>
      <c r="AK49" s="174"/>
      <c r="AL49" s="174"/>
      <c r="AM49" s="174"/>
      <c r="AN49" s="174"/>
      <c r="AO49" s="174"/>
      <c r="AP49" s="174"/>
      <c r="AQ49" s="174"/>
      <c r="AR49" s="175"/>
      <c r="AS49" s="13"/>
      <c r="AT49" s="404"/>
      <c r="AU49" s="269"/>
      <c r="AV49" s="269"/>
      <c r="AW49" s="269"/>
      <c r="AX49" s="269"/>
      <c r="AY49" s="269"/>
      <c r="AZ49" s="269"/>
      <c r="BA49" s="269"/>
      <c r="BB49" s="268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70"/>
      <c r="BP49" s="13"/>
      <c r="BQ49" s="29"/>
      <c r="BR49" s="13"/>
    </row>
    <row r="50" spans="1:70" ht="7.5" customHeight="1">
      <c r="A50" s="24"/>
      <c r="B50" s="408" t="s">
        <v>261</v>
      </c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228">
        <f>SUM(S50:X51)</f>
        <v>10</v>
      </c>
      <c r="P50" s="228"/>
      <c r="Q50" s="439"/>
      <c r="R50" s="13"/>
      <c r="S50" s="471">
        <f>IF(OR(Таблицы!F191=7,Таблицы!F192=7),SUM(2*D28,Таблицы!L44),2*D28)</f>
        <v>10</v>
      </c>
      <c r="T50" s="471"/>
      <c r="U50" s="471"/>
      <c r="V50" s="227"/>
      <c r="W50" s="227"/>
      <c r="X50" s="227"/>
      <c r="Y50" s="29"/>
      <c r="Z50" s="19"/>
      <c r="AA50" s="13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13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13"/>
      <c r="BQ50" s="29"/>
      <c r="BR50" s="13"/>
    </row>
    <row r="51" spans="1:70" ht="7.5" customHeight="1">
      <c r="A51" s="19"/>
      <c r="B51" s="408"/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228"/>
      <c r="P51" s="228"/>
      <c r="Q51" s="439"/>
      <c r="R51" s="4"/>
      <c r="S51" s="471"/>
      <c r="T51" s="471"/>
      <c r="U51" s="471"/>
      <c r="V51" s="227"/>
      <c r="W51" s="227"/>
      <c r="X51" s="227"/>
      <c r="Y51" s="37"/>
      <c r="Z51" s="19"/>
      <c r="AA51" s="4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13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13"/>
      <c r="BQ51" s="29"/>
      <c r="BR51" s="13"/>
    </row>
    <row r="52" spans="1:70" ht="7.5" customHeight="1">
      <c r="A52" s="16"/>
      <c r="B52" s="408" t="s">
        <v>262</v>
      </c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228">
        <f>SUM(S52:X53)</f>
        <v>1</v>
      </c>
      <c r="P52" s="228"/>
      <c r="Q52" s="439"/>
      <c r="R52" s="4"/>
      <c r="S52" s="471">
        <f>IF(K26="","",SUM(VLOOKUP(D26,Таблицы!E12:F26,2,FALSE)+IF(Таблицы!J1=5,5,0),IF(OR(Таблицы!F191=8,Таблицы!F192=8),Таблицы!L45,0),IF(OR(Таблицы!F191=24,Таблицы!F192=24),Таблицы!L60,0)))</f>
        <v>1</v>
      </c>
      <c r="T52" s="471"/>
      <c r="U52" s="471"/>
      <c r="V52" s="227"/>
      <c r="W52" s="227"/>
      <c r="X52" s="227"/>
      <c r="Y52" s="37"/>
      <c r="Z52" s="3"/>
      <c r="AA52" s="4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13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13"/>
      <c r="BQ52" s="29"/>
      <c r="BR52" s="13"/>
    </row>
    <row r="53" spans="1:70" ht="7.5" customHeight="1">
      <c r="A53" s="19"/>
      <c r="B53" s="40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228"/>
      <c r="P53" s="228"/>
      <c r="Q53" s="439"/>
      <c r="R53" s="13"/>
      <c r="S53" s="471"/>
      <c r="T53" s="471"/>
      <c r="U53" s="471"/>
      <c r="V53" s="227"/>
      <c r="W53" s="227"/>
      <c r="X53" s="227"/>
      <c r="Y53" s="29"/>
      <c r="Z53" s="19"/>
      <c r="AA53" s="13"/>
      <c r="AH53" s="406" t="str">
        <f>INDEX(Таблицы!P35:W63,Таблицы!F191,Таблицы!J1)</f>
        <v> </v>
      </c>
      <c r="AI53" s="406"/>
      <c r="AJ53" s="406"/>
      <c r="AK53" s="406"/>
      <c r="AL53" s="406"/>
      <c r="AM53" s="406"/>
      <c r="AN53" s="406"/>
      <c r="AO53" s="406"/>
      <c r="AP53" s="406"/>
      <c r="AQ53" s="406"/>
      <c r="AR53" s="406"/>
      <c r="AS53" s="13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13"/>
      <c r="BQ53" s="29"/>
      <c r="BR53" s="13"/>
    </row>
    <row r="54" spans="1:70" ht="7.5" customHeight="1">
      <c r="A54" s="16"/>
      <c r="B54" s="408" t="s">
        <v>263</v>
      </c>
      <c r="C54" s="398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497">
        <f>SUM(S54:X55)</f>
        <v>0.05</v>
      </c>
      <c r="P54" s="497"/>
      <c r="Q54" s="498"/>
      <c r="R54" s="4"/>
      <c r="S54" s="482">
        <f>IF(OR(Таблицы!F191=6,Таблицы!F192=6),SUM(D38/100,Таблицы!L42),D38/100)</f>
        <v>0.05</v>
      </c>
      <c r="T54" s="482"/>
      <c r="U54" s="482"/>
      <c r="V54" s="495"/>
      <c r="W54" s="495"/>
      <c r="X54" s="495"/>
      <c r="Y54" s="37"/>
      <c r="Z54" s="19"/>
      <c r="AA54" s="4"/>
      <c r="AH54" s="406"/>
      <c r="AI54" s="406"/>
      <c r="AJ54" s="406"/>
      <c r="AK54" s="406"/>
      <c r="AL54" s="406"/>
      <c r="AM54" s="406"/>
      <c r="AN54" s="406"/>
      <c r="AO54" s="406"/>
      <c r="AP54" s="406"/>
      <c r="AQ54" s="406"/>
      <c r="AR54" s="406"/>
      <c r="AS54" s="13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13"/>
      <c r="BQ54" s="29"/>
      <c r="BR54" s="13"/>
    </row>
    <row r="55" spans="1:70" ht="7.5" customHeight="1">
      <c r="A55" s="19"/>
      <c r="B55" s="40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497"/>
      <c r="P55" s="497"/>
      <c r="Q55" s="498"/>
      <c r="R55" s="4"/>
      <c r="S55" s="482"/>
      <c r="T55" s="482"/>
      <c r="U55" s="482"/>
      <c r="V55" s="495"/>
      <c r="W55" s="495"/>
      <c r="X55" s="495"/>
      <c r="Y55" s="37"/>
      <c r="Z55" s="3"/>
      <c r="AA55" s="4"/>
      <c r="AH55" s="406"/>
      <c r="AI55" s="406"/>
      <c r="AJ55" s="406"/>
      <c r="AK55" s="406"/>
      <c r="AL55" s="406"/>
      <c r="AM55" s="406"/>
      <c r="AN55" s="406"/>
      <c r="AO55" s="406"/>
      <c r="AP55" s="406"/>
      <c r="AQ55" s="406"/>
      <c r="AR55" s="406"/>
      <c r="AS55" s="13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13"/>
      <c r="BQ55" s="29"/>
      <c r="BR55" s="13"/>
    </row>
    <row r="56" spans="1:70" ht="7.5" customHeight="1">
      <c r="A56" s="16"/>
      <c r="B56" s="408" t="s">
        <v>264</v>
      </c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228">
        <f>SUM(S56:X57)</f>
        <v>1</v>
      </c>
      <c r="P56" s="228"/>
      <c r="Q56" s="439"/>
      <c r="R56" s="13"/>
      <c r="S56" s="471">
        <f>IF(D30=0,"",SUM(VLOOKUP(D30,Таблицы!H12:I25,2,FALSE),IF(OR(Таблицы!F191=2,Таблицы!F192=2),2,0)))</f>
        <v>1</v>
      </c>
      <c r="T56" s="471"/>
      <c r="U56" s="471"/>
      <c r="V56" s="227"/>
      <c r="W56" s="227"/>
      <c r="X56" s="227"/>
      <c r="Y56" s="29"/>
      <c r="Z56" s="19"/>
      <c r="AA56" s="13"/>
      <c r="AH56" s="406"/>
      <c r="AI56" s="406"/>
      <c r="AJ56" s="406"/>
      <c r="AK56" s="406"/>
      <c r="AL56" s="406"/>
      <c r="AM56" s="406"/>
      <c r="AN56" s="406"/>
      <c r="AO56" s="406"/>
      <c r="AP56" s="406"/>
      <c r="AQ56" s="406"/>
      <c r="AR56" s="406"/>
      <c r="AS56" s="13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13"/>
      <c r="BQ56" s="29"/>
      <c r="BR56" s="13"/>
    </row>
    <row r="57" spans="1:70" ht="7.5" customHeight="1">
      <c r="A57" s="19"/>
      <c r="B57" s="408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228"/>
      <c r="P57" s="228"/>
      <c r="Q57" s="439"/>
      <c r="R57" s="4"/>
      <c r="S57" s="471"/>
      <c r="T57" s="471"/>
      <c r="U57" s="471"/>
      <c r="V57" s="227"/>
      <c r="W57" s="227"/>
      <c r="X57" s="227"/>
      <c r="Y57" s="37"/>
      <c r="Z57" s="19"/>
      <c r="AA57" s="4"/>
      <c r="AH57" s="406"/>
      <c r="AI57" s="406"/>
      <c r="AJ57" s="406"/>
      <c r="AK57" s="406"/>
      <c r="AL57" s="406"/>
      <c r="AM57" s="406"/>
      <c r="AN57" s="406"/>
      <c r="AO57" s="406"/>
      <c r="AP57" s="406"/>
      <c r="AQ57" s="406"/>
      <c r="AR57" s="406"/>
      <c r="AS57" s="13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13"/>
      <c r="BQ57" s="29"/>
      <c r="BR57" s="13"/>
    </row>
    <row r="58" spans="1:70" ht="7.5" customHeight="1">
      <c r="A58" s="16"/>
      <c r="B58" s="408" t="s">
        <v>265</v>
      </c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497">
        <f>SUM(S58:X59)</f>
        <v>0.25</v>
      </c>
      <c r="P58" s="497"/>
      <c r="Q58" s="498"/>
      <c r="R58" s="4"/>
      <c r="S58" s="482">
        <f>IF(D30=0,"",SUM(IF(OR(Таблицы!F191=2,Таблицы!F192=2),INDEX(Таблицы!F2:S10,Таблицы!J1,11),IF(((5*D30)/100)+INDEX(Таблицы!F2:S10,Таблицы!J1,11)&gt;1,1,((5*D30)/100)+INDEX(Таблицы!F2:S10,Таблицы!J1,11)))))</f>
        <v>0.25</v>
      </c>
      <c r="T58" s="482"/>
      <c r="U58" s="482"/>
      <c r="V58" s="495"/>
      <c r="W58" s="495"/>
      <c r="X58" s="495"/>
      <c r="Y58" s="37"/>
      <c r="Z58" s="3"/>
      <c r="AA58" s="4"/>
      <c r="AH58" s="406"/>
      <c r="AI58" s="406"/>
      <c r="AJ58" s="406"/>
      <c r="AK58" s="406"/>
      <c r="AL58" s="406"/>
      <c r="AM58" s="406"/>
      <c r="AN58" s="406"/>
      <c r="AO58" s="406"/>
      <c r="AP58" s="406"/>
      <c r="AQ58" s="406"/>
      <c r="AR58" s="406"/>
      <c r="AS58" s="13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13"/>
      <c r="BQ58" s="29"/>
      <c r="BR58" s="13"/>
    </row>
    <row r="59" spans="1:70" ht="7.5" customHeight="1">
      <c r="A59" s="19"/>
      <c r="B59" s="40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497"/>
      <c r="P59" s="497"/>
      <c r="Q59" s="498"/>
      <c r="R59" s="13"/>
      <c r="S59" s="482"/>
      <c r="T59" s="482"/>
      <c r="U59" s="482"/>
      <c r="V59" s="495"/>
      <c r="W59" s="495"/>
      <c r="X59" s="495"/>
      <c r="Y59" s="29"/>
      <c r="Z59" s="19"/>
      <c r="AA59" s="13"/>
      <c r="AH59" s="407"/>
      <c r="AI59" s="407"/>
      <c r="AJ59" s="407"/>
      <c r="AK59" s="407"/>
      <c r="AL59" s="407"/>
      <c r="AM59" s="407"/>
      <c r="AN59" s="407"/>
      <c r="AO59" s="407"/>
      <c r="AP59" s="407"/>
      <c r="AQ59" s="407"/>
      <c r="AR59" s="407"/>
      <c r="AS59" s="13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13"/>
      <c r="BQ59" s="29"/>
      <c r="BR59" s="13"/>
    </row>
    <row r="60" spans="1:70" ht="7.5" customHeight="1">
      <c r="A60" s="16"/>
      <c r="B60" s="408" t="s">
        <v>266</v>
      </c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497">
        <f>SUM(S60:X61)</f>
        <v>0.1</v>
      </c>
      <c r="P60" s="497"/>
      <c r="Q60" s="498"/>
      <c r="R60" s="4"/>
      <c r="S60" s="482">
        <f>IF(OR(Таблицы!F191=19,Таблицы!F192=19),SUM(Таблицы!L56,IF(D30=0,"",IF(OR(Таблицы!F191=2,Таблицы!F192=2),INDEX(Таблицы!F2:S10,Таблицы!J1,12),IF(((2*D30)/100)+INDEX(Таблицы!F2:S10,Таблицы!J1,12)&gt;1,1,((2*D30)/100)+INDEX(Таблицы!F2:S10,Таблицы!J1,12))))),IF(D30=0,"",IF(OR(Таблицы!F191=2,Таблицы!F192=2),INDEX(Таблицы!F2:S10,Таблицы!J1,12),IF(((2*D30)/100)+INDEX(Таблицы!F2:S10,Таблицы!J1,12)&gt;1,1,((2*D30)/100)+INDEX(Таблицы!F2:S10,Таблицы!J1,12)))))</f>
        <v>0.1</v>
      </c>
      <c r="T60" s="482"/>
      <c r="U60" s="482"/>
      <c r="V60" s="495"/>
      <c r="W60" s="495"/>
      <c r="X60" s="495"/>
      <c r="Y60" s="37"/>
      <c r="Z60" s="19"/>
      <c r="AA60" s="4"/>
      <c r="AH60" s="407"/>
      <c r="AI60" s="407"/>
      <c r="AJ60" s="407"/>
      <c r="AK60" s="407"/>
      <c r="AL60" s="407"/>
      <c r="AM60" s="407"/>
      <c r="AN60" s="407"/>
      <c r="AO60" s="407"/>
      <c r="AP60" s="407"/>
      <c r="AQ60" s="407"/>
      <c r="AR60" s="407"/>
      <c r="AS60" s="13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13"/>
      <c r="BQ60" s="29"/>
      <c r="BR60" s="13"/>
    </row>
    <row r="61" spans="1:70" ht="7.5" customHeight="1">
      <c r="A61" s="19"/>
      <c r="B61" s="408"/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497"/>
      <c r="P61" s="497"/>
      <c r="Q61" s="498"/>
      <c r="R61" s="4"/>
      <c r="S61" s="482"/>
      <c r="T61" s="482"/>
      <c r="U61" s="482"/>
      <c r="V61" s="495"/>
      <c r="W61" s="495"/>
      <c r="X61" s="495"/>
      <c r="Y61" s="37"/>
      <c r="Z61" s="3"/>
      <c r="AA61" s="4"/>
      <c r="AH61" s="407"/>
      <c r="AI61" s="407"/>
      <c r="AJ61" s="407"/>
      <c r="AK61" s="407"/>
      <c r="AL61" s="407"/>
      <c r="AM61" s="407"/>
      <c r="AN61" s="407"/>
      <c r="AO61" s="407"/>
      <c r="AP61" s="407"/>
      <c r="AQ61" s="407"/>
      <c r="AR61" s="407"/>
      <c r="AS61" s="13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13"/>
      <c r="BQ61" s="29"/>
      <c r="BR61" s="13"/>
    </row>
    <row r="62" spans="1:70" ht="7.5" customHeight="1">
      <c r="A62" s="16"/>
      <c r="B62" s="408" t="s">
        <v>267</v>
      </c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54" t="str">
        <f>IF(S62="ИММУНИТЕТ","100/100",IF(V62="",S62,CONCATENATE(SUM(LEFT(S62,2)*1,LEFT(V62,2)*1),"/",SUM(RIGHT(S62,2)*1,RIGHT(V62,2)*1))))</f>
        <v>00/00</v>
      </c>
      <c r="P62" s="355"/>
      <c r="Q62" s="493"/>
      <c r="R62" s="13"/>
      <c r="S62" s="471" t="str">
        <f>IF(D28=0,"",INDEX(Таблицы!F2:N10,Таблицы!J1,9))</f>
        <v>00/00</v>
      </c>
      <c r="T62" s="471"/>
      <c r="U62" s="471"/>
      <c r="V62" s="496"/>
      <c r="W62" s="496"/>
      <c r="X62" s="496"/>
      <c r="Y62" s="29"/>
      <c r="Z62" s="19"/>
      <c r="AA62" s="13"/>
      <c r="AH62" s="406" t="str">
        <f>INDEX(Таблицы!P35:W63,Таблицы!F192,Таблицы!J1)</f>
        <v> </v>
      </c>
      <c r="AI62" s="406"/>
      <c r="AJ62" s="406"/>
      <c r="AK62" s="406"/>
      <c r="AL62" s="406"/>
      <c r="AM62" s="406"/>
      <c r="AN62" s="406"/>
      <c r="AO62" s="406"/>
      <c r="AP62" s="406"/>
      <c r="AQ62" s="406"/>
      <c r="AR62" s="406"/>
      <c r="AS62" s="13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13"/>
      <c r="BQ62" s="29"/>
      <c r="BR62" s="13"/>
    </row>
    <row r="63" spans="1:70" ht="7.5" customHeight="1">
      <c r="A63" s="19"/>
      <c r="B63" s="408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57"/>
      <c r="P63" s="358"/>
      <c r="Q63" s="494"/>
      <c r="R63" s="4"/>
      <c r="S63" s="471"/>
      <c r="T63" s="471"/>
      <c r="U63" s="471"/>
      <c r="V63" s="496"/>
      <c r="W63" s="496"/>
      <c r="X63" s="496"/>
      <c r="Y63" s="37"/>
      <c r="Z63" s="19"/>
      <c r="AA63" s="4"/>
      <c r="AH63" s="406"/>
      <c r="AI63" s="406"/>
      <c r="AJ63" s="406"/>
      <c r="AK63" s="406"/>
      <c r="AL63" s="406"/>
      <c r="AM63" s="406"/>
      <c r="AN63" s="406"/>
      <c r="AO63" s="406"/>
      <c r="AP63" s="406"/>
      <c r="AQ63" s="406"/>
      <c r="AR63" s="406"/>
      <c r="AS63" s="13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2"/>
      <c r="BP63" s="13"/>
      <c r="BQ63" s="29"/>
      <c r="BR63" s="13"/>
    </row>
    <row r="64" spans="1:70" ht="7.5" customHeight="1">
      <c r="A64" s="16"/>
      <c r="B64" s="408" t="s">
        <v>268</v>
      </c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497">
        <f>SUM(S64:X65)</f>
        <v>0.1</v>
      </c>
      <c r="P64" s="497"/>
      <c r="Q64" s="498"/>
      <c r="R64" s="4"/>
      <c r="S64" s="482">
        <f>IF(D26=0,"",INDEX(Таблицы!F2:M10,Таблицы!J1,8))</f>
        <v>0.1</v>
      </c>
      <c r="T64" s="482"/>
      <c r="U64" s="482"/>
      <c r="V64" s="495"/>
      <c r="W64" s="495"/>
      <c r="X64" s="495"/>
      <c r="Y64" s="37"/>
      <c r="Z64" s="3"/>
      <c r="AA64" s="4"/>
      <c r="AH64" s="406"/>
      <c r="AI64" s="406"/>
      <c r="AJ64" s="406"/>
      <c r="AK64" s="406"/>
      <c r="AL64" s="406"/>
      <c r="AM64" s="406"/>
      <c r="AN64" s="406"/>
      <c r="AO64" s="406"/>
      <c r="AP64" s="406"/>
      <c r="AQ64" s="406"/>
      <c r="AR64" s="406"/>
      <c r="AS64" s="13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13"/>
      <c r="BQ64" s="29"/>
      <c r="BR64" s="13"/>
    </row>
    <row r="65" spans="1:70" ht="7.5" customHeight="1">
      <c r="A65" s="19"/>
      <c r="B65" s="40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497"/>
      <c r="P65" s="497"/>
      <c r="Q65" s="498"/>
      <c r="R65" s="13"/>
      <c r="S65" s="482"/>
      <c r="T65" s="482"/>
      <c r="U65" s="482"/>
      <c r="V65" s="495"/>
      <c r="W65" s="495"/>
      <c r="X65" s="495"/>
      <c r="Y65" s="29"/>
      <c r="Z65" s="19"/>
      <c r="AA65" s="13"/>
      <c r="AH65" s="406"/>
      <c r="AI65" s="406"/>
      <c r="AJ65" s="406"/>
      <c r="AK65" s="406"/>
      <c r="AL65" s="406"/>
      <c r="AM65" s="406"/>
      <c r="AN65" s="406"/>
      <c r="AO65" s="406"/>
      <c r="AP65" s="406"/>
      <c r="AQ65" s="406"/>
      <c r="AR65" s="406"/>
      <c r="AS65" s="13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13"/>
      <c r="BQ65" s="29"/>
      <c r="BR65" s="13"/>
    </row>
    <row r="66" spans="1:70" ht="7.5" customHeight="1">
      <c r="A66" s="20"/>
      <c r="B66" s="408" t="s">
        <v>269</v>
      </c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228">
        <f>SUM(S66:X67)</f>
        <v>5</v>
      </c>
      <c r="P66" s="228"/>
      <c r="Q66" s="439"/>
      <c r="R66" s="4"/>
      <c r="S66" s="471">
        <f>IF(OR(Таблицы!F191=22,Таблицы!F192=22),SUM(IF(OR(Таблицы!F191=7,Таблицы!F192=7),Таблицы!L43,D36),Таблицы!L58),IF(OR(Таблицы!F191=7,Таблицы!F192=7),Таблицы!L43,D36))</f>
        <v>5</v>
      </c>
      <c r="T66" s="471"/>
      <c r="U66" s="471"/>
      <c r="V66" s="227"/>
      <c r="W66" s="227"/>
      <c r="X66" s="227"/>
      <c r="Y66" s="37"/>
      <c r="Z66" s="19"/>
      <c r="AA66" s="4"/>
      <c r="AH66" s="406"/>
      <c r="AI66" s="406"/>
      <c r="AJ66" s="406"/>
      <c r="AK66" s="406"/>
      <c r="AL66" s="406"/>
      <c r="AM66" s="406"/>
      <c r="AN66" s="406"/>
      <c r="AO66" s="406"/>
      <c r="AP66" s="406"/>
      <c r="AQ66" s="406"/>
      <c r="AR66" s="406"/>
      <c r="AS66" s="13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13"/>
      <c r="BQ66" s="29"/>
      <c r="BR66" s="13"/>
    </row>
    <row r="67" spans="1:75" ht="7.5" customHeight="1" thickBot="1">
      <c r="A67" s="20"/>
      <c r="B67" s="337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440"/>
      <c r="P67" s="440"/>
      <c r="Q67" s="441"/>
      <c r="R67" s="4"/>
      <c r="S67" s="471"/>
      <c r="T67" s="471"/>
      <c r="U67" s="471"/>
      <c r="V67" s="227"/>
      <c r="W67" s="227"/>
      <c r="X67" s="227"/>
      <c r="Y67" s="37"/>
      <c r="Z67" s="3"/>
      <c r="AA67" s="4"/>
      <c r="AH67" s="406"/>
      <c r="AI67" s="406"/>
      <c r="AJ67" s="406"/>
      <c r="AK67" s="406"/>
      <c r="AL67" s="406"/>
      <c r="AM67" s="406"/>
      <c r="AN67" s="406"/>
      <c r="AO67" s="406"/>
      <c r="AP67" s="406"/>
      <c r="AQ67" s="406"/>
      <c r="AR67" s="406"/>
      <c r="AS67" s="13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13"/>
      <c r="BQ67" s="29"/>
      <c r="BR67" s="13"/>
      <c r="BS67" s="13"/>
      <c r="BT67" s="13"/>
      <c r="BU67" s="13"/>
      <c r="BV67" s="13"/>
      <c r="BW67" s="25"/>
    </row>
    <row r="68" spans="1:75" ht="7.5" customHeight="1" thickBot="1">
      <c r="A68" s="18"/>
      <c r="B68" s="6"/>
      <c r="C68" s="6"/>
      <c r="D68" s="6"/>
      <c r="E68" s="6"/>
      <c r="F68" s="38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3"/>
      <c r="Z68" s="32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43"/>
      <c r="BC68" s="43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3"/>
      <c r="BR68" s="13"/>
      <c r="BS68" s="13"/>
      <c r="BT68" s="13"/>
      <c r="BU68" s="13"/>
      <c r="BV68" s="13"/>
      <c r="BW68" s="25"/>
    </row>
    <row r="69" spans="1:69" ht="7.5" customHeight="1" thickBot="1">
      <c r="A69" s="34"/>
      <c r="B69" s="12"/>
      <c r="C69" s="12"/>
      <c r="D69" s="12"/>
      <c r="E69" s="12"/>
      <c r="F69" s="27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72"/>
      <c r="AC69" s="74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28"/>
    </row>
    <row r="70" spans="1:69" ht="7.5" customHeight="1">
      <c r="A70" s="19"/>
      <c r="B70" s="198" t="s">
        <v>277</v>
      </c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200"/>
      <c r="AB70" s="55"/>
      <c r="AC70" s="50"/>
      <c r="AD70" s="198" t="s">
        <v>290</v>
      </c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200"/>
      <c r="BD70" s="13"/>
      <c r="BE70" s="288" t="s">
        <v>325</v>
      </c>
      <c r="BF70" s="289"/>
      <c r="BG70" s="289"/>
      <c r="BH70" s="290"/>
      <c r="BI70" s="280" t="s">
        <v>307</v>
      </c>
      <c r="BJ70" s="280"/>
      <c r="BK70" s="280"/>
      <c r="BL70" s="280"/>
      <c r="BM70" s="280"/>
      <c r="BN70" s="280"/>
      <c r="BO70" s="280"/>
      <c r="BP70" s="281"/>
      <c r="BQ70" s="29"/>
    </row>
    <row r="71" spans="1:69" ht="7.5" customHeight="1" thickBot="1">
      <c r="A71" s="19"/>
      <c r="B71" s="201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3"/>
      <c r="AB71" s="55"/>
      <c r="AC71" s="50"/>
      <c r="AD71" s="201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3"/>
      <c r="BD71" s="13"/>
      <c r="BE71" s="291"/>
      <c r="BF71" s="292"/>
      <c r="BG71" s="292"/>
      <c r="BH71" s="293"/>
      <c r="BI71" s="282"/>
      <c r="BJ71" s="282"/>
      <c r="BK71" s="282"/>
      <c r="BL71" s="282"/>
      <c r="BM71" s="282"/>
      <c r="BN71" s="282"/>
      <c r="BO71" s="282"/>
      <c r="BP71" s="283"/>
      <c r="BQ71" s="29"/>
    </row>
    <row r="72" spans="1:69" ht="7.5" customHeight="1" thickBot="1">
      <c r="A72" s="19"/>
      <c r="B72" s="244" t="s">
        <v>292</v>
      </c>
      <c r="C72" s="245"/>
      <c r="D72" s="245"/>
      <c r="E72" s="246"/>
      <c r="F72" s="399"/>
      <c r="G72" s="400"/>
      <c r="H72" s="400"/>
      <c r="I72" s="400"/>
      <c r="J72" s="400"/>
      <c r="K72" s="400"/>
      <c r="L72" s="400"/>
      <c r="M72" s="400"/>
      <c r="N72" s="400"/>
      <c r="O72" s="400"/>
      <c r="P72" s="400"/>
      <c r="Q72" s="401"/>
      <c r="R72" s="212" t="s">
        <v>929</v>
      </c>
      <c r="S72" s="213"/>
      <c r="T72" s="225">
        <f>IF(INDEX(Таблицы!AA20:AA242,Таблицы!Y31,1)="","",INDEX(Таблицы!AA20:AA242,Таблицы!Y31,1))</f>
      </c>
      <c r="U72" s="225"/>
      <c r="V72" s="218" t="s">
        <v>942</v>
      </c>
      <c r="W72" s="219"/>
      <c r="X72" s="219"/>
      <c r="Y72" s="219"/>
      <c r="Z72" s="222" t="s">
        <v>943</v>
      </c>
      <c r="AA72" s="55"/>
      <c r="AB72" s="55"/>
      <c r="AC72" s="50"/>
      <c r="AD72" s="244" t="s">
        <v>292</v>
      </c>
      <c r="AE72" s="245"/>
      <c r="AF72" s="245"/>
      <c r="AG72" s="246"/>
      <c r="AH72" s="399"/>
      <c r="AI72" s="400"/>
      <c r="AJ72" s="400"/>
      <c r="AK72" s="400"/>
      <c r="AL72" s="400"/>
      <c r="AM72" s="400"/>
      <c r="AN72" s="400"/>
      <c r="AO72" s="400"/>
      <c r="AP72" s="400"/>
      <c r="AQ72" s="400"/>
      <c r="AR72" s="400"/>
      <c r="AS72" s="401"/>
      <c r="AT72" s="212" t="s">
        <v>929</v>
      </c>
      <c r="AU72" s="213"/>
      <c r="AV72" s="225">
        <f>IF(INDEX(Таблицы!AA20:AA242,Таблицы!Y32,1)="","",INDEX(Таблицы!AA20:AA242,Таблицы!Y32,1))</f>
      </c>
      <c r="AW72" s="225"/>
      <c r="AX72" s="218" t="s">
        <v>942</v>
      </c>
      <c r="AY72" s="219"/>
      <c r="AZ72" s="219"/>
      <c r="BA72" s="219"/>
      <c r="BB72" s="222" t="s">
        <v>943</v>
      </c>
      <c r="BC72" s="55"/>
      <c r="BD72" s="13"/>
      <c r="BE72" s="294"/>
      <c r="BF72" s="295"/>
      <c r="BG72" s="295"/>
      <c r="BH72" s="296"/>
      <c r="BI72" s="284"/>
      <c r="BJ72" s="284"/>
      <c r="BK72" s="284"/>
      <c r="BL72" s="284"/>
      <c r="BM72" s="284"/>
      <c r="BN72" s="284"/>
      <c r="BO72" s="284"/>
      <c r="BP72" s="285"/>
      <c r="BQ72" s="29"/>
    </row>
    <row r="73" spans="1:69" ht="7.5" customHeight="1">
      <c r="A73" s="19"/>
      <c r="B73" s="244"/>
      <c r="C73" s="245"/>
      <c r="D73" s="245"/>
      <c r="E73" s="246"/>
      <c r="F73" s="396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3"/>
      <c r="R73" s="214"/>
      <c r="S73" s="215"/>
      <c r="T73" s="226"/>
      <c r="U73" s="226"/>
      <c r="V73" s="220"/>
      <c r="W73" s="221"/>
      <c r="X73" s="221"/>
      <c r="Y73" s="221"/>
      <c r="Z73" s="223"/>
      <c r="AA73" s="55"/>
      <c r="AB73" s="55"/>
      <c r="AC73" s="50"/>
      <c r="AD73" s="244"/>
      <c r="AE73" s="245"/>
      <c r="AF73" s="245"/>
      <c r="AG73" s="246"/>
      <c r="AH73" s="396"/>
      <c r="AI73" s="282"/>
      <c r="AJ73" s="282"/>
      <c r="AK73" s="282"/>
      <c r="AL73" s="282"/>
      <c r="AM73" s="282"/>
      <c r="AN73" s="282"/>
      <c r="AO73" s="282"/>
      <c r="AP73" s="282"/>
      <c r="AQ73" s="282"/>
      <c r="AR73" s="282"/>
      <c r="AS73" s="283"/>
      <c r="AT73" s="214"/>
      <c r="AU73" s="215"/>
      <c r="AV73" s="226"/>
      <c r="AW73" s="226"/>
      <c r="AX73" s="220"/>
      <c r="AY73" s="221"/>
      <c r="AZ73" s="221"/>
      <c r="BA73" s="221"/>
      <c r="BB73" s="223"/>
      <c r="BC73" s="55"/>
      <c r="BD73" s="13"/>
      <c r="BE73" s="286" t="s">
        <v>308</v>
      </c>
      <c r="BF73" s="286"/>
      <c r="BG73" s="287">
        <f>IF(INDEX(Таблицы!AA483:AA515,Таблицы!Y487,1)="","",INDEX(Таблицы!AA483:AA515,Таблицы!Y487,1))</f>
      </c>
      <c r="BH73" s="287"/>
      <c r="BI73" s="172" t="s">
        <v>309</v>
      </c>
      <c r="BJ73" s="172"/>
      <c r="BK73" s="228">
        <f>IF(INDEX(Таблицы!AB483:AB515,Таблицы!Y487,1)="","",INDEX(Таблицы!AB483:AB515,Таблицы!Y487,1))</f>
      </c>
      <c r="BL73" s="228"/>
      <c r="BM73" s="172" t="s">
        <v>310</v>
      </c>
      <c r="BN73" s="172"/>
      <c r="BO73" s="228">
        <f>IF(INDEX(Таблицы!AC483:AC515,Таблицы!Y487,1)="","",INDEX(Таблицы!AC483:AC515,Таблицы!Y487,1))</f>
      </c>
      <c r="BP73" s="228"/>
      <c r="BQ73" s="29"/>
    </row>
    <row r="74" spans="1:69" ht="7.5" customHeight="1">
      <c r="A74" s="19"/>
      <c r="B74" s="247"/>
      <c r="C74" s="248"/>
      <c r="D74" s="248"/>
      <c r="E74" s="249"/>
      <c r="F74" s="397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5"/>
      <c r="R74" s="216"/>
      <c r="S74" s="217"/>
      <c r="T74" s="226"/>
      <c r="U74" s="226"/>
      <c r="V74" s="50"/>
      <c r="W74" s="13"/>
      <c r="X74" s="13"/>
      <c r="Y74" s="13"/>
      <c r="Z74" s="13"/>
      <c r="AA74" s="55"/>
      <c r="AB74" s="55"/>
      <c r="AC74" s="50"/>
      <c r="AD74" s="247"/>
      <c r="AE74" s="248"/>
      <c r="AF74" s="248"/>
      <c r="AG74" s="249"/>
      <c r="AH74" s="397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5"/>
      <c r="AT74" s="216"/>
      <c r="AU74" s="217"/>
      <c r="AV74" s="226"/>
      <c r="AW74" s="226"/>
      <c r="AX74" s="50"/>
      <c r="AY74" s="13"/>
      <c r="AZ74" s="13"/>
      <c r="BA74" s="13"/>
      <c r="BB74" s="13"/>
      <c r="BC74" s="55"/>
      <c r="BD74" s="13"/>
      <c r="BE74" s="172"/>
      <c r="BF74" s="172"/>
      <c r="BG74" s="228"/>
      <c r="BH74" s="228"/>
      <c r="BI74" s="172"/>
      <c r="BJ74" s="172"/>
      <c r="BK74" s="228"/>
      <c r="BL74" s="228"/>
      <c r="BM74" s="172"/>
      <c r="BN74" s="172"/>
      <c r="BO74" s="228"/>
      <c r="BP74" s="228"/>
      <c r="BQ74" s="29"/>
    </row>
    <row r="75" spans="1:69" ht="7.5" customHeight="1">
      <c r="A75" s="19"/>
      <c r="B75" s="172" t="s">
        <v>278</v>
      </c>
      <c r="C75" s="170">
        <f>IF(INDEX(Таблицы!AB20:AB242,Таблицы!Y31,1)="","",INDEX(Таблицы!AB20:AB242,Таблицы!Y31,1))</f>
      </c>
      <c r="D75" s="171"/>
      <c r="E75" s="169"/>
      <c r="F75" s="172" t="s">
        <v>279</v>
      </c>
      <c r="G75" s="172"/>
      <c r="H75" s="163">
        <f>IF(INDEX(Таблицы!AC20:AC242,Таблицы!Y31,1)="","",INDEX(Таблицы!AC20:AC242,Таблицы!Y31,1))</f>
      </c>
      <c r="I75" s="164"/>
      <c r="J75" s="164"/>
      <c r="K75" s="164"/>
      <c r="L75" s="164"/>
      <c r="M75" s="164"/>
      <c r="N75" s="164"/>
      <c r="O75" s="165"/>
      <c r="P75" s="172" t="s">
        <v>280</v>
      </c>
      <c r="Q75" s="172"/>
      <c r="R75" s="354">
        <f>IF(INDEX(Таблицы!AD20:AD242,Таблицы!Y31,1)="","",INDEX(Таблицы!AD20:AD242,Таблицы!Y31,1))</f>
      </c>
      <c r="S75" s="355"/>
      <c r="T75" s="355"/>
      <c r="U75" s="356"/>
      <c r="V75" s="50"/>
      <c r="W75" s="13"/>
      <c r="X75" s="13"/>
      <c r="Y75" s="13"/>
      <c r="Z75" s="13"/>
      <c r="AA75" s="55"/>
      <c r="AB75" s="55"/>
      <c r="AC75" s="50"/>
      <c r="AD75" s="172" t="s">
        <v>278</v>
      </c>
      <c r="AE75" s="170">
        <f>IF(INDEX(Таблицы!AB20:AB242,Таблицы!Y32,1)="","",INDEX(Таблицы!AB20:AB242,Таблицы!Y32,1))</f>
      </c>
      <c r="AF75" s="171"/>
      <c r="AG75" s="169"/>
      <c r="AH75" s="172" t="s">
        <v>279</v>
      </c>
      <c r="AI75" s="172"/>
      <c r="AJ75" s="163">
        <f>IF(INDEX(Таблицы!AC20:AC242,Таблицы!Y32,1)="","",INDEX(Таблицы!AC20:AC242,Таблицы!Y32,1))</f>
      </c>
      <c r="AK75" s="164"/>
      <c r="AL75" s="164"/>
      <c r="AM75" s="164"/>
      <c r="AN75" s="164"/>
      <c r="AO75" s="164"/>
      <c r="AP75" s="164"/>
      <c r="AQ75" s="165"/>
      <c r="AR75" s="172" t="s">
        <v>280</v>
      </c>
      <c r="AS75" s="172"/>
      <c r="AT75" s="354">
        <f>IF(INDEX(Таблицы!AD20:AD242,Таблицы!Y32,1)="","",INDEX(Таблицы!AD20:AD242,Таблицы!Y32,1))</f>
      </c>
      <c r="AU75" s="355"/>
      <c r="AV75" s="355"/>
      <c r="AW75" s="356"/>
      <c r="AX75" s="50"/>
      <c r="AY75" s="13"/>
      <c r="AZ75" s="13"/>
      <c r="BA75" s="13"/>
      <c r="BB75" s="13"/>
      <c r="BC75" s="55"/>
      <c r="BD75" s="13"/>
      <c r="BE75" s="172" t="s">
        <v>311</v>
      </c>
      <c r="BF75" s="172"/>
      <c r="BG75" s="228">
        <f>IF(INDEX(Таблицы!AD483:AD515,Таблицы!Y487,1)="","",INDEX(Таблицы!AD483:AD515,Таблицы!Y487,1))</f>
      </c>
      <c r="BH75" s="228"/>
      <c r="BI75" s="172" t="s">
        <v>312</v>
      </c>
      <c r="BJ75" s="172"/>
      <c r="BK75" s="228">
        <f>IF(INDEX(Таблицы!AE483:AE515,Таблицы!Y487,1)="","",INDEX(Таблицы!AE483:AE515,Таблицы!Y487,1))</f>
      </c>
      <c r="BL75" s="228"/>
      <c r="BM75" s="172" t="s">
        <v>313</v>
      </c>
      <c r="BN75" s="172"/>
      <c r="BO75" s="228">
        <f>IF(INDEX(Таблицы!AF483:AF515,Таблицы!Y487,1)="","",INDEX(Таблицы!AF483:AF515,Таблицы!Y487,1))</f>
      </c>
      <c r="BP75" s="228"/>
      <c r="BQ75" s="29"/>
    </row>
    <row r="76" spans="1:69" ht="7.5" customHeight="1">
      <c r="A76" s="19"/>
      <c r="B76" s="172"/>
      <c r="C76" s="168"/>
      <c r="D76" s="166"/>
      <c r="E76" s="167"/>
      <c r="F76" s="172"/>
      <c r="G76" s="172"/>
      <c r="H76" s="162"/>
      <c r="I76" s="196"/>
      <c r="J76" s="196"/>
      <c r="K76" s="196"/>
      <c r="L76" s="196"/>
      <c r="M76" s="196"/>
      <c r="N76" s="196"/>
      <c r="O76" s="197"/>
      <c r="P76" s="172"/>
      <c r="Q76" s="172"/>
      <c r="R76" s="357"/>
      <c r="S76" s="358"/>
      <c r="T76" s="358"/>
      <c r="U76" s="359"/>
      <c r="V76" s="360" t="s">
        <v>100</v>
      </c>
      <c r="W76" s="361"/>
      <c r="X76" s="224">
        <v>1</v>
      </c>
      <c r="Y76" s="224"/>
      <c r="Z76" s="224">
        <v>2</v>
      </c>
      <c r="AA76" s="224"/>
      <c r="AB76" s="55"/>
      <c r="AC76" s="50"/>
      <c r="AD76" s="172"/>
      <c r="AE76" s="168"/>
      <c r="AF76" s="166"/>
      <c r="AG76" s="167"/>
      <c r="AH76" s="172"/>
      <c r="AI76" s="172"/>
      <c r="AJ76" s="162"/>
      <c r="AK76" s="196"/>
      <c r="AL76" s="196"/>
      <c r="AM76" s="196"/>
      <c r="AN76" s="196"/>
      <c r="AO76" s="196"/>
      <c r="AP76" s="196"/>
      <c r="AQ76" s="197"/>
      <c r="AR76" s="172"/>
      <c r="AS76" s="172"/>
      <c r="AT76" s="357"/>
      <c r="AU76" s="358"/>
      <c r="AV76" s="358"/>
      <c r="AW76" s="359"/>
      <c r="AX76" s="360" t="s">
        <v>100</v>
      </c>
      <c r="AY76" s="361"/>
      <c r="AZ76" s="224">
        <v>1</v>
      </c>
      <c r="BA76" s="224"/>
      <c r="BB76" s="224">
        <v>2</v>
      </c>
      <c r="BC76" s="224"/>
      <c r="BD76" s="13"/>
      <c r="BE76" s="172"/>
      <c r="BF76" s="172"/>
      <c r="BG76" s="228"/>
      <c r="BH76" s="228"/>
      <c r="BI76" s="172"/>
      <c r="BJ76" s="172"/>
      <c r="BK76" s="228"/>
      <c r="BL76" s="228"/>
      <c r="BM76" s="172"/>
      <c r="BN76" s="172"/>
      <c r="BO76" s="228"/>
      <c r="BP76" s="228"/>
      <c r="BQ76" s="29"/>
    </row>
    <row r="77" spans="1:69" ht="7.5" customHeight="1">
      <c r="A77" s="19"/>
      <c r="B77" s="172" t="s">
        <v>281</v>
      </c>
      <c r="C77" s="172"/>
      <c r="D77" s="172" t="s">
        <v>282</v>
      </c>
      <c r="E77" s="228">
        <f>IF(INDEX(Таблицы!AE20:AE242,Таблицы!Y31,1)="","",INDEX(Таблицы!AE20:AE242,Таблицы!Y31,1))</f>
      </c>
      <c r="F77" s="228"/>
      <c r="G77" s="172" t="s">
        <v>283</v>
      </c>
      <c r="H77" s="228">
        <f>IF(INDEX(Таблицы!AF20:AF242,Таблицы!Y31,1)="","",INDEX(Таблицы!AF20:AF242,Таблицы!Y31,1))</f>
      </c>
      <c r="I77" s="228"/>
      <c r="J77" s="172" t="s">
        <v>284</v>
      </c>
      <c r="K77" s="228">
        <f>IF(INDEX(Таблицы!AG20:AG242,Таблицы!Y31,1)="","",INDEX(Таблицы!AG20:AG242,Таблицы!Y31,1))</f>
      </c>
      <c r="L77" s="228"/>
      <c r="M77" s="172" t="s">
        <v>99</v>
      </c>
      <c r="N77" s="172"/>
      <c r="O77" s="172"/>
      <c r="P77" s="172"/>
      <c r="Q77" s="172"/>
      <c r="R77" s="172"/>
      <c r="S77" s="172"/>
      <c r="T77" s="228">
        <f>IF(INDEX(Таблицы!AH20:AH242,Таблицы!Y31,1)="","",INDEX(Таблицы!AH20:AH242,Таблицы!Y31,1))</f>
      </c>
      <c r="U77" s="228"/>
      <c r="V77" s="360"/>
      <c r="W77" s="361"/>
      <c r="X77" s="224"/>
      <c r="Y77" s="224"/>
      <c r="Z77" s="224"/>
      <c r="AA77" s="224"/>
      <c r="AB77" s="55"/>
      <c r="AC77" s="50"/>
      <c r="AD77" s="172" t="s">
        <v>281</v>
      </c>
      <c r="AE77" s="172"/>
      <c r="AF77" s="172" t="s">
        <v>282</v>
      </c>
      <c r="AG77" s="228">
        <f>IF(INDEX(Таблицы!AE20:AE242,Таблицы!Y32,1)="","",INDEX(Таблицы!AE20:AE242,Таблицы!Y32,1))</f>
      </c>
      <c r="AH77" s="228"/>
      <c r="AI77" s="172" t="s">
        <v>283</v>
      </c>
      <c r="AJ77" s="228">
        <f>IF(INDEX(Таблицы!AF20:AF242,Таблицы!Y32,1)="","",INDEX(Таблицы!AF20:AF242,Таблицы!Y32,1))</f>
      </c>
      <c r="AK77" s="228"/>
      <c r="AL77" s="172" t="s">
        <v>284</v>
      </c>
      <c r="AM77" s="228">
        <f>IF(INDEX(Таблицы!AG20:AG242,Таблицы!Y32,1)="","",INDEX(Таблицы!AG20:AG242,Таблицы!Y32,1))</f>
      </c>
      <c r="AN77" s="228"/>
      <c r="AO77" s="172" t="s">
        <v>99</v>
      </c>
      <c r="AP77" s="172"/>
      <c r="AQ77" s="172"/>
      <c r="AR77" s="172"/>
      <c r="AS77" s="172"/>
      <c r="AT77" s="172"/>
      <c r="AU77" s="172"/>
      <c r="AV77" s="228">
        <f>IF(INDEX(Таблицы!AH20:AH242,Таблицы!Y32,1)="","",INDEX(Таблицы!AH20:AH242,Таблицы!Y32,1))</f>
      </c>
      <c r="AW77" s="228"/>
      <c r="AX77" s="360"/>
      <c r="AY77" s="361"/>
      <c r="AZ77" s="224"/>
      <c r="BA77" s="224"/>
      <c r="BB77" s="224"/>
      <c r="BC77" s="224"/>
      <c r="BD77" s="13"/>
      <c r="BE77" s="172" t="s">
        <v>314</v>
      </c>
      <c r="BF77" s="172"/>
      <c r="BG77" s="354">
        <f>IF(INDEX(Таблицы!AG483:AG515,Таблицы!Y487,1)="","",INDEX(Таблицы!AG483:AG515,Таблицы!Y487,1))</f>
      </c>
      <c r="BH77" s="355"/>
      <c r="BI77" s="355"/>
      <c r="BJ77" s="356"/>
      <c r="BK77" s="327" t="s">
        <v>323</v>
      </c>
      <c r="BL77" s="328"/>
      <c r="BM77" s="342"/>
      <c r="BN77" s="343"/>
      <c r="BO77" s="338">
        <f>IF(INDEX(Таблицы!AS483:AS515,Таблицы!Y487,1)="","",INDEX(Таблицы!AS483:AS515,Таблицы!Y487,1))</f>
      </c>
      <c r="BP77" s="339"/>
      <c r="BQ77" s="29"/>
    </row>
    <row r="78" spans="1:69" ht="7.5" customHeight="1">
      <c r="A78" s="19"/>
      <c r="B78" s="172"/>
      <c r="C78" s="172"/>
      <c r="D78" s="172"/>
      <c r="E78" s="228"/>
      <c r="F78" s="228"/>
      <c r="G78" s="172"/>
      <c r="H78" s="228"/>
      <c r="I78" s="228"/>
      <c r="J78" s="172"/>
      <c r="K78" s="228"/>
      <c r="L78" s="228"/>
      <c r="M78" s="172"/>
      <c r="N78" s="172"/>
      <c r="O78" s="172"/>
      <c r="P78" s="172"/>
      <c r="Q78" s="172"/>
      <c r="R78" s="172"/>
      <c r="S78" s="172"/>
      <c r="T78" s="228"/>
      <c r="U78" s="228"/>
      <c r="V78" s="360"/>
      <c r="W78" s="361"/>
      <c r="X78" s="224">
        <v>3</v>
      </c>
      <c r="Y78" s="224"/>
      <c r="Z78" s="224">
        <v>4</v>
      </c>
      <c r="AA78" s="224"/>
      <c r="AB78" s="55"/>
      <c r="AC78" s="50"/>
      <c r="AD78" s="172"/>
      <c r="AE78" s="172"/>
      <c r="AF78" s="172"/>
      <c r="AG78" s="228"/>
      <c r="AH78" s="228"/>
      <c r="AI78" s="172"/>
      <c r="AJ78" s="228"/>
      <c r="AK78" s="228"/>
      <c r="AL78" s="172"/>
      <c r="AM78" s="228"/>
      <c r="AN78" s="228"/>
      <c r="AO78" s="172"/>
      <c r="AP78" s="172"/>
      <c r="AQ78" s="172"/>
      <c r="AR78" s="172"/>
      <c r="AS78" s="172"/>
      <c r="AT78" s="172"/>
      <c r="AU78" s="172"/>
      <c r="AV78" s="228"/>
      <c r="AW78" s="228"/>
      <c r="AX78" s="360"/>
      <c r="AY78" s="361"/>
      <c r="AZ78" s="224">
        <v>3</v>
      </c>
      <c r="BA78" s="224"/>
      <c r="BB78" s="224">
        <v>4</v>
      </c>
      <c r="BC78" s="224"/>
      <c r="BD78" s="13"/>
      <c r="BE78" s="172"/>
      <c r="BF78" s="172"/>
      <c r="BG78" s="357"/>
      <c r="BH78" s="358"/>
      <c r="BI78" s="358"/>
      <c r="BJ78" s="359"/>
      <c r="BK78" s="329"/>
      <c r="BL78" s="330"/>
      <c r="BM78" s="344"/>
      <c r="BN78" s="345"/>
      <c r="BO78" s="340"/>
      <c r="BP78" s="341"/>
      <c r="BQ78" s="29"/>
    </row>
    <row r="79" spans="1:69" ht="7.5" customHeight="1">
      <c r="A79" s="19"/>
      <c r="B79" s="241" t="s">
        <v>930</v>
      </c>
      <c r="C79" s="242"/>
      <c r="D79" s="243"/>
      <c r="E79" s="242"/>
      <c r="F79" s="242"/>
      <c r="G79" s="242"/>
      <c r="H79" s="242"/>
      <c r="I79" s="242"/>
      <c r="J79" s="242"/>
      <c r="K79" s="242"/>
      <c r="L79" s="242"/>
      <c r="M79" s="243"/>
      <c r="N79" s="250" t="s">
        <v>298</v>
      </c>
      <c r="O79" s="251"/>
      <c r="P79" s="225">
        <f>IF(INDEX(Таблицы!AB245:AB323,Таблицы!Y255,1)="","",INDEX(Таблицы!AB245:AB323,Таблицы!Y255,1))</f>
      </c>
      <c r="Q79" s="225"/>
      <c r="R79" s="250" t="s">
        <v>831</v>
      </c>
      <c r="S79" s="251"/>
      <c r="T79" s="225">
        <f>IF(INDEX(Таблицы!AC245:AC323,Таблицы!Y255,1)="","",INDEX(Таблицы!AC245:AC323,Таблицы!Y255,1))</f>
      </c>
      <c r="U79" s="225"/>
      <c r="V79" s="360"/>
      <c r="W79" s="361"/>
      <c r="X79" s="224"/>
      <c r="Y79" s="224"/>
      <c r="Z79" s="224"/>
      <c r="AA79" s="224"/>
      <c r="AB79" s="55"/>
      <c r="AC79" s="50"/>
      <c r="AD79" s="241" t="s">
        <v>930</v>
      </c>
      <c r="AE79" s="242"/>
      <c r="AF79" s="243"/>
      <c r="AG79" s="242"/>
      <c r="AH79" s="242"/>
      <c r="AI79" s="242"/>
      <c r="AJ79" s="242"/>
      <c r="AK79" s="242"/>
      <c r="AL79" s="242"/>
      <c r="AM79" s="242"/>
      <c r="AN79" s="242"/>
      <c r="AO79" s="243"/>
      <c r="AP79" s="250" t="s">
        <v>298</v>
      </c>
      <c r="AQ79" s="251"/>
      <c r="AR79" s="225">
        <f>IF(INDEX(Таблицы!AB245:AB323,Таблицы!Y256,1)="","",INDEX(Таблицы!AB245:AB323,Таблицы!Y256,1))</f>
      </c>
      <c r="AS79" s="225"/>
      <c r="AT79" s="250" t="s">
        <v>831</v>
      </c>
      <c r="AU79" s="251"/>
      <c r="AV79" s="225">
        <f>IF(INDEX(Таблицы!AC245:AC323,Таблицы!Y256,1)="","",INDEX(Таблицы!AC245:AC323,Таблицы!Y256,1))</f>
      </c>
      <c r="AW79" s="225"/>
      <c r="AX79" s="360"/>
      <c r="AY79" s="361"/>
      <c r="AZ79" s="224"/>
      <c r="BA79" s="224"/>
      <c r="BB79" s="224"/>
      <c r="BC79" s="224"/>
      <c r="BD79" s="13"/>
      <c r="BE79" s="297" t="s">
        <v>223</v>
      </c>
      <c r="BF79" s="297"/>
      <c r="BG79" s="297"/>
      <c r="BH79" s="172" t="s">
        <v>282</v>
      </c>
      <c r="BI79" s="228">
        <f>IF(INDEX(Таблицы!AN483:AN515,Таблицы!Y487,1)="","",INDEX(Таблицы!AN483:AN515,Таблицы!Y487,1))</f>
      </c>
      <c r="BJ79" s="228"/>
      <c r="BK79" s="172" t="s">
        <v>322</v>
      </c>
      <c r="BL79" s="228">
        <f>IF(INDEX(Таблицы!AO483:AO515,Таблицы!Y487,1)="","",INDEX(Таблицы!AO483:AO515,Таблицы!Y487,1))</f>
      </c>
      <c r="BM79" s="228"/>
      <c r="BN79" s="172" t="s">
        <v>284</v>
      </c>
      <c r="BO79" s="228">
        <f>IF(INDEX(Таблицы!AP483:AP515,Таблицы!Y487,1)="","",INDEX(Таблицы!AP483:AP515,Таблицы!Y487,1))</f>
      </c>
      <c r="BP79" s="228"/>
      <c r="BQ79" s="29"/>
    </row>
    <row r="80" spans="1:69" ht="7.5" customHeight="1">
      <c r="A80" s="19"/>
      <c r="B80" s="244"/>
      <c r="C80" s="245"/>
      <c r="D80" s="246"/>
      <c r="E80" s="245"/>
      <c r="F80" s="245"/>
      <c r="G80" s="245"/>
      <c r="H80" s="245"/>
      <c r="I80" s="245"/>
      <c r="J80" s="245"/>
      <c r="K80" s="245"/>
      <c r="L80" s="245"/>
      <c r="M80" s="246"/>
      <c r="N80" s="214"/>
      <c r="O80" s="252"/>
      <c r="P80" s="226"/>
      <c r="Q80" s="226"/>
      <c r="R80" s="214"/>
      <c r="S80" s="252"/>
      <c r="T80" s="226"/>
      <c r="U80" s="226"/>
      <c r="V80" s="360"/>
      <c r="W80" s="361"/>
      <c r="X80" s="224">
        <v>5</v>
      </c>
      <c r="Y80" s="224"/>
      <c r="Z80" s="224">
        <v>6</v>
      </c>
      <c r="AA80" s="224"/>
      <c r="AB80" s="55"/>
      <c r="AC80" s="50"/>
      <c r="AD80" s="244"/>
      <c r="AE80" s="245"/>
      <c r="AF80" s="246"/>
      <c r="AG80" s="245"/>
      <c r="AH80" s="245"/>
      <c r="AI80" s="245"/>
      <c r="AJ80" s="245"/>
      <c r="AK80" s="245"/>
      <c r="AL80" s="245"/>
      <c r="AM80" s="245"/>
      <c r="AN80" s="245"/>
      <c r="AO80" s="246"/>
      <c r="AP80" s="214"/>
      <c r="AQ80" s="252"/>
      <c r="AR80" s="226"/>
      <c r="AS80" s="226"/>
      <c r="AT80" s="214"/>
      <c r="AU80" s="252"/>
      <c r="AV80" s="226"/>
      <c r="AW80" s="226"/>
      <c r="AX80" s="360"/>
      <c r="AY80" s="361"/>
      <c r="AZ80" s="224">
        <v>5</v>
      </c>
      <c r="BA80" s="224"/>
      <c r="BB80" s="224">
        <v>6</v>
      </c>
      <c r="BC80" s="224"/>
      <c r="BD80" s="13"/>
      <c r="BE80" s="297"/>
      <c r="BF80" s="297"/>
      <c r="BG80" s="297"/>
      <c r="BH80" s="172"/>
      <c r="BI80" s="228"/>
      <c r="BJ80" s="228"/>
      <c r="BK80" s="172"/>
      <c r="BL80" s="228"/>
      <c r="BM80" s="228"/>
      <c r="BN80" s="172"/>
      <c r="BO80" s="228"/>
      <c r="BP80" s="228"/>
      <c r="BQ80" s="29"/>
    </row>
    <row r="81" spans="1:69" ht="7.5" customHeight="1">
      <c r="A81" s="19"/>
      <c r="B81" s="247"/>
      <c r="C81" s="248"/>
      <c r="D81" s="249"/>
      <c r="E81" s="248"/>
      <c r="F81" s="248"/>
      <c r="G81" s="248"/>
      <c r="H81" s="248"/>
      <c r="I81" s="248"/>
      <c r="J81" s="248"/>
      <c r="K81" s="248"/>
      <c r="L81" s="248"/>
      <c r="M81" s="249"/>
      <c r="N81" s="216"/>
      <c r="O81" s="253"/>
      <c r="P81" s="226"/>
      <c r="Q81" s="226"/>
      <c r="R81" s="216"/>
      <c r="S81" s="253"/>
      <c r="T81" s="226"/>
      <c r="U81" s="226"/>
      <c r="V81" s="360"/>
      <c r="W81" s="361"/>
      <c r="X81" s="224"/>
      <c r="Y81" s="224"/>
      <c r="Z81" s="224"/>
      <c r="AA81" s="224"/>
      <c r="AB81" s="55"/>
      <c r="AC81" s="50"/>
      <c r="AD81" s="247"/>
      <c r="AE81" s="248"/>
      <c r="AF81" s="249"/>
      <c r="AG81" s="248"/>
      <c r="AH81" s="248"/>
      <c r="AI81" s="248"/>
      <c r="AJ81" s="248"/>
      <c r="AK81" s="248"/>
      <c r="AL81" s="248"/>
      <c r="AM81" s="248"/>
      <c r="AN81" s="248"/>
      <c r="AO81" s="249"/>
      <c r="AP81" s="216"/>
      <c r="AQ81" s="253"/>
      <c r="AR81" s="226"/>
      <c r="AS81" s="226"/>
      <c r="AT81" s="216"/>
      <c r="AU81" s="253"/>
      <c r="AV81" s="226"/>
      <c r="AW81" s="226"/>
      <c r="AX81" s="360"/>
      <c r="AY81" s="361"/>
      <c r="AZ81" s="224"/>
      <c r="BA81" s="224"/>
      <c r="BB81" s="224"/>
      <c r="BC81" s="224"/>
      <c r="BD81" s="13"/>
      <c r="BE81" s="297"/>
      <c r="BF81" s="297"/>
      <c r="BG81" s="297"/>
      <c r="BH81" s="172" t="s">
        <v>283</v>
      </c>
      <c r="BI81" s="228">
        <f>IF(INDEX(Таблицы!AQ483:AQ515,Таблицы!Y487,1)="","",INDEX(Таблицы!AQ483:AQ515,Таблицы!Y487,1))</f>
      </c>
      <c r="BJ81" s="228"/>
      <c r="BK81" s="172" t="s">
        <v>278</v>
      </c>
      <c r="BL81" s="255">
        <f>IF(INDEX(Таблицы!AR483:AR515,Таблицы!Y487,1)="","",INDEX(Таблицы!AR483:AR515,Таблицы!Y487,1))</f>
      </c>
      <c r="BM81" s="256"/>
      <c r="BN81" s="256"/>
      <c r="BO81" s="256"/>
      <c r="BP81" s="257"/>
      <c r="BQ81" s="29"/>
    </row>
    <row r="82" spans="1:69" ht="7.5" customHeight="1">
      <c r="A82" s="19"/>
      <c r="B82" s="172" t="s">
        <v>279</v>
      </c>
      <c r="C82" s="172"/>
      <c r="D82" s="229">
        <f>IF(INDEX(Таблицы!AE245:AE323,Таблицы!Y255,1)="","",INDEX(Таблицы!AE245:AE323,Таблицы!Y255,1))</f>
      </c>
      <c r="E82" s="230"/>
      <c r="F82" s="230"/>
      <c r="G82" s="230"/>
      <c r="H82" s="231"/>
      <c r="I82" s="235" t="s">
        <v>832</v>
      </c>
      <c r="J82" s="236"/>
      <c r="K82" s="237"/>
      <c r="L82" s="229">
        <f>IF(INDEX(Таблицы!AF245:AF323,Таблицы!Y255,1)="","",INDEX(Таблицы!AF245:AF323,Таблицы!Y255,1))</f>
      </c>
      <c r="M82" s="230"/>
      <c r="N82" s="230"/>
      <c r="O82" s="230"/>
      <c r="P82" s="230"/>
      <c r="Q82" s="230"/>
      <c r="R82" s="230"/>
      <c r="S82" s="230"/>
      <c r="T82" s="230"/>
      <c r="U82" s="231"/>
      <c r="V82" s="360"/>
      <c r="W82" s="361"/>
      <c r="X82" s="224">
        <v>7</v>
      </c>
      <c r="Y82" s="224"/>
      <c r="Z82" s="224">
        <v>8</v>
      </c>
      <c r="AA82" s="224"/>
      <c r="AB82" s="55"/>
      <c r="AC82" s="50"/>
      <c r="AD82" s="172" t="s">
        <v>279</v>
      </c>
      <c r="AE82" s="172"/>
      <c r="AF82" s="229">
        <f>IF(INDEX(Таблицы!AE245:AE323,Таблицы!Y256,1)="","",INDEX(Таблицы!AE245:AE323,Таблицы!Y256,1))</f>
      </c>
      <c r="AG82" s="230"/>
      <c r="AH82" s="230"/>
      <c r="AI82" s="230"/>
      <c r="AJ82" s="231"/>
      <c r="AK82" s="235" t="s">
        <v>832</v>
      </c>
      <c r="AL82" s="236"/>
      <c r="AM82" s="237"/>
      <c r="AN82" s="229">
        <f>IF(INDEX(Таблицы!AF245:AF323,Таблицы!Y256,1)="","",INDEX(Таблицы!AF245:AF323,Таблицы!Y256,1))</f>
      </c>
      <c r="AO82" s="230"/>
      <c r="AP82" s="230"/>
      <c r="AQ82" s="230"/>
      <c r="AR82" s="230"/>
      <c r="AS82" s="230"/>
      <c r="AT82" s="230"/>
      <c r="AU82" s="230"/>
      <c r="AV82" s="230"/>
      <c r="AW82" s="231"/>
      <c r="AX82" s="360"/>
      <c r="AY82" s="361"/>
      <c r="AZ82" s="224">
        <v>7</v>
      </c>
      <c r="BA82" s="224"/>
      <c r="BB82" s="224">
        <v>8</v>
      </c>
      <c r="BC82" s="224"/>
      <c r="BD82" s="13"/>
      <c r="BE82" s="297"/>
      <c r="BF82" s="297"/>
      <c r="BG82" s="297"/>
      <c r="BH82" s="172"/>
      <c r="BI82" s="228"/>
      <c r="BJ82" s="228"/>
      <c r="BK82" s="172"/>
      <c r="BL82" s="258"/>
      <c r="BM82" s="259"/>
      <c r="BN82" s="259"/>
      <c r="BO82" s="259"/>
      <c r="BP82" s="260"/>
      <c r="BQ82" s="29"/>
    </row>
    <row r="83" spans="1:69" ht="7.5" customHeight="1">
      <c r="A83" s="19"/>
      <c r="B83" s="172"/>
      <c r="C83" s="172"/>
      <c r="D83" s="232"/>
      <c r="E83" s="233"/>
      <c r="F83" s="233"/>
      <c r="G83" s="233"/>
      <c r="H83" s="234"/>
      <c r="I83" s="238"/>
      <c r="J83" s="239"/>
      <c r="K83" s="240"/>
      <c r="L83" s="232"/>
      <c r="M83" s="233"/>
      <c r="N83" s="233"/>
      <c r="O83" s="233"/>
      <c r="P83" s="233"/>
      <c r="Q83" s="233"/>
      <c r="R83" s="233"/>
      <c r="S83" s="233"/>
      <c r="T83" s="233"/>
      <c r="U83" s="234"/>
      <c r="V83" s="360"/>
      <c r="W83" s="361"/>
      <c r="X83" s="224"/>
      <c r="Y83" s="224"/>
      <c r="Z83" s="224"/>
      <c r="AA83" s="224"/>
      <c r="AB83" s="55"/>
      <c r="AC83" s="50"/>
      <c r="AD83" s="172"/>
      <c r="AE83" s="172"/>
      <c r="AF83" s="232"/>
      <c r="AG83" s="233"/>
      <c r="AH83" s="233"/>
      <c r="AI83" s="233"/>
      <c r="AJ83" s="234"/>
      <c r="AK83" s="238"/>
      <c r="AL83" s="239"/>
      <c r="AM83" s="240"/>
      <c r="AN83" s="232"/>
      <c r="AO83" s="233"/>
      <c r="AP83" s="233"/>
      <c r="AQ83" s="233"/>
      <c r="AR83" s="233"/>
      <c r="AS83" s="233"/>
      <c r="AT83" s="233"/>
      <c r="AU83" s="233"/>
      <c r="AV83" s="233"/>
      <c r="AW83" s="234"/>
      <c r="AX83" s="360"/>
      <c r="AY83" s="361"/>
      <c r="AZ83" s="224"/>
      <c r="BA83" s="224"/>
      <c r="BB83" s="224"/>
      <c r="BC83" s="224"/>
      <c r="BD83" s="13"/>
      <c r="BE83" s="297" t="s">
        <v>320</v>
      </c>
      <c r="BF83" s="297"/>
      <c r="BG83" s="297"/>
      <c r="BH83" s="172" t="s">
        <v>315</v>
      </c>
      <c r="BI83" s="228">
        <f>IF(INDEX(Таблицы!AH483:AH515,Таблицы!Y487,1)="","",INDEX(Таблицы!AH483:AH515,Таблицы!Y487,1))</f>
      </c>
      <c r="BJ83" s="228"/>
      <c r="BK83" s="172" t="s">
        <v>316</v>
      </c>
      <c r="BL83" s="228">
        <f>IF(INDEX(Таблицы!AI483:AI515,Таблицы!Y487,1)="","",INDEX(Таблицы!AI483:AI515,Таблицы!Y487,1))</f>
      </c>
      <c r="BM83" s="228"/>
      <c r="BN83" s="172" t="s">
        <v>317</v>
      </c>
      <c r="BO83" s="228">
        <f>IF(INDEX(Таблицы!AJ483:AJ515,Таблицы!Y487,1)="","",INDEX(Таблицы!AJ483:AJ515,Таблицы!Y487,1))</f>
      </c>
      <c r="BP83" s="228"/>
      <c r="BQ83" s="29"/>
    </row>
    <row r="84" spans="1:69" ht="7.5" customHeight="1">
      <c r="A84" s="19"/>
      <c r="B84" s="398" t="s">
        <v>288</v>
      </c>
      <c r="C84" s="398"/>
      <c r="D84" s="398"/>
      <c r="E84" s="398"/>
      <c r="F84" s="398"/>
      <c r="G84" s="398"/>
      <c r="H84" s="398"/>
      <c r="I84" s="398"/>
      <c r="J84" s="227"/>
      <c r="K84" s="227"/>
      <c r="L84" s="172" t="s">
        <v>286</v>
      </c>
      <c r="M84" s="172"/>
      <c r="N84" s="172"/>
      <c r="O84" s="228">
        <f>IF(INDEX(Таблицы!AI20:AI242,Таблицы!Y31,1)="","",INDEX(Таблицы!AI20:AI242,Таблицы!Y31,1))</f>
      </c>
      <c r="P84" s="228"/>
      <c r="Q84" s="172" t="s">
        <v>287</v>
      </c>
      <c r="R84" s="172"/>
      <c r="S84" s="172"/>
      <c r="T84" s="227"/>
      <c r="U84" s="227"/>
      <c r="V84" s="360"/>
      <c r="W84" s="361"/>
      <c r="X84" s="224">
        <v>9</v>
      </c>
      <c r="Y84" s="224"/>
      <c r="Z84" s="224">
        <v>10</v>
      </c>
      <c r="AA84" s="224"/>
      <c r="AB84" s="55"/>
      <c r="AC84" s="50"/>
      <c r="AD84" s="398" t="s">
        <v>288</v>
      </c>
      <c r="AE84" s="398"/>
      <c r="AF84" s="398"/>
      <c r="AG84" s="398"/>
      <c r="AH84" s="398"/>
      <c r="AI84" s="398"/>
      <c r="AJ84" s="398"/>
      <c r="AK84" s="398"/>
      <c r="AL84" s="227"/>
      <c r="AM84" s="227"/>
      <c r="AN84" s="172" t="s">
        <v>286</v>
      </c>
      <c r="AO84" s="172"/>
      <c r="AP84" s="172"/>
      <c r="AQ84" s="228">
        <f>IF(INDEX(Таблицы!AI20:AI242,Таблицы!Y32,1)="","",INDEX(Таблицы!AI20:AI242,Таблицы!Y32,1))</f>
      </c>
      <c r="AR84" s="228"/>
      <c r="AS84" s="172" t="s">
        <v>287</v>
      </c>
      <c r="AT84" s="172"/>
      <c r="AU84" s="172"/>
      <c r="AV84" s="227"/>
      <c r="AW84" s="227"/>
      <c r="AX84" s="360"/>
      <c r="AY84" s="361"/>
      <c r="AZ84" s="224">
        <v>9</v>
      </c>
      <c r="BA84" s="224"/>
      <c r="BB84" s="224">
        <v>10</v>
      </c>
      <c r="BC84" s="224"/>
      <c r="BD84" s="13"/>
      <c r="BE84" s="297"/>
      <c r="BF84" s="297"/>
      <c r="BG84" s="297"/>
      <c r="BH84" s="172"/>
      <c r="BI84" s="228"/>
      <c r="BJ84" s="228"/>
      <c r="BK84" s="172"/>
      <c r="BL84" s="228"/>
      <c r="BM84" s="228"/>
      <c r="BN84" s="172"/>
      <c r="BO84" s="228"/>
      <c r="BP84" s="228"/>
      <c r="BQ84" s="29"/>
    </row>
    <row r="85" spans="1:69" ht="7.5" customHeight="1">
      <c r="A85" s="19"/>
      <c r="B85" s="398"/>
      <c r="C85" s="398"/>
      <c r="D85" s="398"/>
      <c r="E85" s="398"/>
      <c r="F85" s="398"/>
      <c r="G85" s="398"/>
      <c r="H85" s="398"/>
      <c r="I85" s="398"/>
      <c r="J85" s="227"/>
      <c r="K85" s="227"/>
      <c r="L85" s="172"/>
      <c r="M85" s="172"/>
      <c r="N85" s="172"/>
      <c r="O85" s="228"/>
      <c r="P85" s="228"/>
      <c r="Q85" s="172"/>
      <c r="R85" s="172"/>
      <c r="S85" s="172"/>
      <c r="T85" s="227"/>
      <c r="U85" s="227"/>
      <c r="V85" s="362"/>
      <c r="W85" s="363"/>
      <c r="X85" s="224"/>
      <c r="Y85" s="224"/>
      <c r="Z85" s="224"/>
      <c r="AA85" s="224"/>
      <c r="AB85" s="55"/>
      <c r="AC85" s="50"/>
      <c r="AD85" s="398"/>
      <c r="AE85" s="398"/>
      <c r="AF85" s="398"/>
      <c r="AG85" s="398"/>
      <c r="AH85" s="398"/>
      <c r="AI85" s="398"/>
      <c r="AJ85" s="398"/>
      <c r="AK85" s="398"/>
      <c r="AL85" s="227"/>
      <c r="AM85" s="227"/>
      <c r="AN85" s="172"/>
      <c r="AO85" s="172"/>
      <c r="AP85" s="172"/>
      <c r="AQ85" s="228"/>
      <c r="AR85" s="228"/>
      <c r="AS85" s="172"/>
      <c r="AT85" s="172"/>
      <c r="AU85" s="172"/>
      <c r="AV85" s="227"/>
      <c r="AW85" s="227"/>
      <c r="AX85" s="362"/>
      <c r="AY85" s="363"/>
      <c r="AZ85" s="224"/>
      <c r="BA85" s="224"/>
      <c r="BB85" s="224"/>
      <c r="BC85" s="224"/>
      <c r="BD85" s="13"/>
      <c r="BE85" s="297"/>
      <c r="BF85" s="297"/>
      <c r="BG85" s="297"/>
      <c r="BH85" s="172" t="s">
        <v>318</v>
      </c>
      <c r="BI85" s="228">
        <f>IF(INDEX(Таблицы!AK483:AK515,Таблицы!Y487,1)="","",INDEX(Таблицы!AK483:AK515,Таблицы!Y487,1))</f>
      </c>
      <c r="BJ85" s="228"/>
      <c r="BK85" s="172" t="s">
        <v>319</v>
      </c>
      <c r="BL85" s="172"/>
      <c r="BM85" s="204">
        <f>IF(INDEX(Таблицы!AL483:AL515,Таблицы!Y487,1)="","",INDEX(Таблицы!AL483:AL515,Таблицы!Y487,1))</f>
      </c>
      <c r="BN85" s="206"/>
      <c r="BO85" s="204" t="s">
        <v>875</v>
      </c>
      <c r="BP85" s="206">
        <f>IF(INDEX(Таблицы!AM483:AM515,Таблицы!Y487,1)="","",INDEX(Таблицы!AM483:AM515,Таблицы!Y487,1))</f>
      </c>
      <c r="BQ85" s="29"/>
    </row>
    <row r="86" spans="1:69" ht="7.5" customHeight="1">
      <c r="A86" s="65"/>
      <c r="B86" s="71"/>
      <c r="C86" s="71"/>
      <c r="D86" s="71"/>
      <c r="E86" s="71"/>
      <c r="F86" s="71"/>
      <c r="G86" s="71"/>
      <c r="H86" s="71"/>
      <c r="I86" s="71"/>
      <c r="J86" s="63"/>
      <c r="K86" s="63"/>
      <c r="L86" s="64"/>
      <c r="M86" s="64"/>
      <c r="N86" s="64"/>
      <c r="O86" s="63"/>
      <c r="P86" s="63"/>
      <c r="Q86" s="64"/>
      <c r="R86" s="64"/>
      <c r="S86" s="64"/>
      <c r="T86" s="63"/>
      <c r="U86" s="63"/>
      <c r="V86" s="46"/>
      <c r="W86" s="46"/>
      <c r="X86" s="71"/>
      <c r="Y86" s="71"/>
      <c r="Z86" s="71"/>
      <c r="AA86" s="71"/>
      <c r="AB86" s="73"/>
      <c r="AC86" s="75"/>
      <c r="AD86" s="71"/>
      <c r="AE86" s="71"/>
      <c r="AF86" s="63"/>
      <c r="AG86" s="63"/>
      <c r="AH86" s="64"/>
      <c r="AI86" s="64"/>
      <c r="AJ86" s="64"/>
      <c r="AK86" s="63"/>
      <c r="AL86" s="63"/>
      <c r="AM86" s="64"/>
      <c r="AN86" s="64"/>
      <c r="AO86" s="64"/>
      <c r="AP86" s="63"/>
      <c r="AQ86" s="63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297"/>
      <c r="BF86" s="297"/>
      <c r="BG86" s="297"/>
      <c r="BH86" s="172"/>
      <c r="BI86" s="228"/>
      <c r="BJ86" s="228"/>
      <c r="BK86" s="172"/>
      <c r="BL86" s="172"/>
      <c r="BM86" s="205"/>
      <c r="BN86" s="207"/>
      <c r="BO86" s="205"/>
      <c r="BP86" s="207"/>
      <c r="BQ86" s="29"/>
    </row>
    <row r="87" spans="1:69" ht="7.5" customHeight="1" thickBot="1">
      <c r="A87" s="19"/>
      <c r="B87" s="52"/>
      <c r="C87" s="52"/>
      <c r="D87" s="52"/>
      <c r="E87" s="52"/>
      <c r="F87" s="52"/>
      <c r="G87" s="52"/>
      <c r="H87" s="52"/>
      <c r="I87" s="52"/>
      <c r="J87" s="4"/>
      <c r="K87" s="4"/>
      <c r="L87" s="48"/>
      <c r="M87" s="48"/>
      <c r="N87" s="48"/>
      <c r="O87" s="4"/>
      <c r="P87" s="4"/>
      <c r="Q87" s="48"/>
      <c r="R87" s="48"/>
      <c r="S87" s="48"/>
      <c r="T87" s="4"/>
      <c r="U87" s="4"/>
      <c r="V87" s="13"/>
      <c r="W87" s="13"/>
      <c r="X87" s="52"/>
      <c r="Y87" s="52"/>
      <c r="Z87" s="52"/>
      <c r="AA87" s="52"/>
      <c r="AB87" s="52"/>
      <c r="AC87" s="52"/>
      <c r="AD87" s="52"/>
      <c r="AE87" s="52"/>
      <c r="AF87" s="4"/>
      <c r="AG87" s="4"/>
      <c r="AH87" s="48"/>
      <c r="AI87" s="48"/>
      <c r="AJ87" s="48"/>
      <c r="AK87" s="4"/>
      <c r="AL87" s="4"/>
      <c r="AM87" s="48"/>
      <c r="AN87" s="48"/>
      <c r="AO87" s="48"/>
      <c r="AP87" s="4"/>
      <c r="AQ87" s="4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297" t="s">
        <v>876</v>
      </c>
      <c r="BF87" s="297"/>
      <c r="BG87" s="297"/>
      <c r="BH87" s="172" t="s">
        <v>315</v>
      </c>
      <c r="BI87" s="227"/>
      <c r="BJ87" s="227"/>
      <c r="BK87" s="172" t="s">
        <v>316</v>
      </c>
      <c r="BL87" s="227"/>
      <c r="BM87" s="227"/>
      <c r="BN87" s="172" t="s">
        <v>317</v>
      </c>
      <c r="BO87" s="254"/>
      <c r="BP87" s="254"/>
      <c r="BQ87" s="29"/>
    </row>
    <row r="88" spans="1:69" ht="7.5" customHeight="1">
      <c r="A88" s="19"/>
      <c r="B88" s="370" t="s">
        <v>101</v>
      </c>
      <c r="C88" s="371"/>
      <c r="D88" s="371"/>
      <c r="E88" s="371"/>
      <c r="F88" s="371"/>
      <c r="G88" s="371"/>
      <c r="H88" s="371"/>
      <c r="I88" s="371"/>
      <c r="J88" s="371"/>
      <c r="K88" s="371"/>
      <c r="L88" s="371"/>
      <c r="M88" s="371"/>
      <c r="N88" s="371"/>
      <c r="O88" s="371"/>
      <c r="P88" s="371"/>
      <c r="Q88" s="371"/>
      <c r="R88" s="371"/>
      <c r="S88" s="371"/>
      <c r="T88" s="371"/>
      <c r="U88" s="371"/>
      <c r="V88" s="371"/>
      <c r="W88" s="371"/>
      <c r="X88" s="371"/>
      <c r="Y88" s="371"/>
      <c r="Z88" s="371"/>
      <c r="AA88" s="371"/>
      <c r="AB88" s="371"/>
      <c r="AC88" s="371"/>
      <c r="AD88" s="371"/>
      <c r="AE88" s="371"/>
      <c r="AF88" s="371"/>
      <c r="AG88" s="371"/>
      <c r="AH88" s="371"/>
      <c r="AI88" s="371"/>
      <c r="AJ88" s="371"/>
      <c r="AK88" s="371"/>
      <c r="AL88" s="371"/>
      <c r="AM88" s="371"/>
      <c r="AN88" s="371"/>
      <c r="AO88" s="371"/>
      <c r="AP88" s="371"/>
      <c r="AQ88" s="371"/>
      <c r="AR88" s="371"/>
      <c r="AS88" s="371"/>
      <c r="AT88" s="371"/>
      <c r="AU88" s="371"/>
      <c r="AV88" s="371"/>
      <c r="AW88" s="371"/>
      <c r="AX88" s="371"/>
      <c r="AY88" s="371"/>
      <c r="AZ88" s="371"/>
      <c r="BA88" s="371"/>
      <c r="BB88" s="371"/>
      <c r="BC88" s="372"/>
      <c r="BD88" s="13"/>
      <c r="BE88" s="297"/>
      <c r="BF88" s="297"/>
      <c r="BG88" s="297"/>
      <c r="BH88" s="172"/>
      <c r="BI88" s="227"/>
      <c r="BJ88" s="227"/>
      <c r="BK88" s="172"/>
      <c r="BL88" s="227"/>
      <c r="BM88" s="227"/>
      <c r="BN88" s="172"/>
      <c r="BO88" s="227"/>
      <c r="BP88" s="227"/>
      <c r="BQ88" s="29"/>
    </row>
    <row r="89" spans="1:69" ht="7.5" customHeight="1" thickBot="1">
      <c r="A89" s="19"/>
      <c r="B89" s="373"/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/>
      <c r="R89" s="374"/>
      <c r="S89" s="374"/>
      <c r="T89" s="374"/>
      <c r="U89" s="374"/>
      <c r="V89" s="374"/>
      <c r="W89" s="374"/>
      <c r="X89" s="374"/>
      <c r="Y89" s="374"/>
      <c r="Z89" s="374"/>
      <c r="AA89" s="374"/>
      <c r="AB89" s="374"/>
      <c r="AC89" s="374"/>
      <c r="AD89" s="374"/>
      <c r="AE89" s="374"/>
      <c r="AF89" s="374"/>
      <c r="AG89" s="374"/>
      <c r="AH89" s="374"/>
      <c r="AI89" s="374"/>
      <c r="AJ89" s="374"/>
      <c r="AK89" s="374"/>
      <c r="AL89" s="374"/>
      <c r="AM89" s="374"/>
      <c r="AN89" s="374"/>
      <c r="AO89" s="374"/>
      <c r="AP89" s="374"/>
      <c r="AQ89" s="374"/>
      <c r="AR89" s="374"/>
      <c r="AS89" s="374"/>
      <c r="AT89" s="374"/>
      <c r="AU89" s="374"/>
      <c r="AV89" s="374"/>
      <c r="AW89" s="374"/>
      <c r="AX89" s="374"/>
      <c r="AY89" s="374"/>
      <c r="AZ89" s="374"/>
      <c r="BA89" s="374"/>
      <c r="BB89" s="374"/>
      <c r="BC89" s="375"/>
      <c r="BD89" s="13"/>
      <c r="BE89" s="297"/>
      <c r="BF89" s="297"/>
      <c r="BG89" s="297"/>
      <c r="BH89" s="172" t="s">
        <v>318</v>
      </c>
      <c r="BI89" s="227"/>
      <c r="BJ89" s="227"/>
      <c r="BK89" s="172" t="s">
        <v>319</v>
      </c>
      <c r="BL89" s="172"/>
      <c r="BM89" s="208"/>
      <c r="BN89" s="209"/>
      <c r="BO89" s="204" t="s">
        <v>875</v>
      </c>
      <c r="BP89" s="209"/>
      <c r="BQ89" s="29"/>
    </row>
    <row r="90" spans="1:69" ht="7.5" customHeight="1">
      <c r="A90" s="19"/>
      <c r="B90" s="376" t="s">
        <v>269</v>
      </c>
      <c r="C90" s="376"/>
      <c r="D90" s="376"/>
      <c r="E90" s="376"/>
      <c r="F90" s="376"/>
      <c r="G90" s="376"/>
      <c r="H90" s="376"/>
      <c r="I90" s="376"/>
      <c r="J90" s="57"/>
      <c r="K90" s="376" t="s">
        <v>296</v>
      </c>
      <c r="L90" s="376"/>
      <c r="M90" s="376"/>
      <c r="N90" s="376"/>
      <c r="O90" s="376"/>
      <c r="P90" s="376"/>
      <c r="Q90" s="282" t="s">
        <v>291</v>
      </c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  <c r="AC90" s="282"/>
      <c r="AD90" s="282"/>
      <c r="AE90" s="282"/>
      <c r="AF90" s="282"/>
      <c r="AG90" s="282"/>
      <c r="AH90" s="282"/>
      <c r="AI90" s="282"/>
      <c r="AJ90" s="282"/>
      <c r="AK90" s="283"/>
      <c r="AL90" s="13"/>
      <c r="AM90" s="376" t="s">
        <v>297</v>
      </c>
      <c r="AN90" s="376"/>
      <c r="AO90" s="376"/>
      <c r="AP90" s="396"/>
      <c r="AQ90" s="282"/>
      <c r="AR90" s="282"/>
      <c r="AS90" s="282"/>
      <c r="AT90" s="282"/>
      <c r="AU90" s="282"/>
      <c r="AV90" s="282"/>
      <c r="AW90" s="282"/>
      <c r="AX90" s="282"/>
      <c r="AY90" s="282"/>
      <c r="AZ90" s="282"/>
      <c r="BA90" s="282"/>
      <c r="BB90" s="282"/>
      <c r="BC90" s="283"/>
      <c r="BD90" s="13"/>
      <c r="BE90" s="297"/>
      <c r="BF90" s="297"/>
      <c r="BG90" s="297"/>
      <c r="BH90" s="172"/>
      <c r="BI90" s="227"/>
      <c r="BJ90" s="227"/>
      <c r="BK90" s="172"/>
      <c r="BL90" s="172"/>
      <c r="BM90" s="210"/>
      <c r="BN90" s="211"/>
      <c r="BO90" s="205"/>
      <c r="BP90" s="211"/>
      <c r="BQ90" s="29"/>
    </row>
    <row r="91" spans="1:69" ht="7.5" customHeight="1">
      <c r="A91" s="19"/>
      <c r="B91" s="377"/>
      <c r="C91" s="377"/>
      <c r="D91" s="377"/>
      <c r="E91" s="377"/>
      <c r="F91" s="377"/>
      <c r="G91" s="377"/>
      <c r="H91" s="377"/>
      <c r="I91" s="377"/>
      <c r="J91" s="57"/>
      <c r="K91" s="377"/>
      <c r="L91" s="377"/>
      <c r="M91" s="377"/>
      <c r="N91" s="377"/>
      <c r="O91" s="377"/>
      <c r="P91" s="377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83"/>
      <c r="AL91" s="51"/>
      <c r="AM91" s="377"/>
      <c r="AN91" s="377"/>
      <c r="AO91" s="377"/>
      <c r="AP91" s="396"/>
      <c r="AQ91" s="282"/>
      <c r="AR91" s="282"/>
      <c r="AS91" s="282"/>
      <c r="AT91" s="282"/>
      <c r="AU91" s="282"/>
      <c r="AV91" s="282"/>
      <c r="AW91" s="282"/>
      <c r="AX91" s="282"/>
      <c r="AY91" s="282"/>
      <c r="AZ91" s="282"/>
      <c r="BA91" s="282"/>
      <c r="BB91" s="282"/>
      <c r="BC91" s="283"/>
      <c r="BD91" s="13"/>
      <c r="BE91" s="297" t="s">
        <v>321</v>
      </c>
      <c r="BF91" s="297"/>
      <c r="BG91" s="297"/>
      <c r="BH91" s="172" t="s">
        <v>315</v>
      </c>
      <c r="BI91" s="228">
        <f>IF(BI83="","",BI83+BI87)</f>
      </c>
      <c r="BJ91" s="228"/>
      <c r="BK91" s="172" t="s">
        <v>316</v>
      </c>
      <c r="BL91" s="228">
        <f>IF(BL83="","",BL83+BL87)</f>
      </c>
      <c r="BM91" s="228"/>
      <c r="BN91" s="172" t="s">
        <v>317</v>
      </c>
      <c r="BO91" s="228">
        <f>IF(BO83="","",BO83-BO87)</f>
      </c>
      <c r="BP91" s="228"/>
      <c r="BQ91" s="29"/>
    </row>
    <row r="92" spans="1:69" ht="7.5" customHeight="1">
      <c r="A92" s="19"/>
      <c r="B92" s="377"/>
      <c r="C92" s="377"/>
      <c r="D92" s="377"/>
      <c r="E92" s="377"/>
      <c r="F92" s="377"/>
      <c r="G92" s="377"/>
      <c r="H92" s="377"/>
      <c r="I92" s="377"/>
      <c r="J92" s="57"/>
      <c r="K92" s="377"/>
      <c r="L92" s="377"/>
      <c r="M92" s="377"/>
      <c r="N92" s="377"/>
      <c r="O92" s="377"/>
      <c r="P92" s="377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5"/>
      <c r="AL92" s="51"/>
      <c r="AM92" s="377"/>
      <c r="AN92" s="377"/>
      <c r="AO92" s="377"/>
      <c r="AP92" s="397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5"/>
      <c r="BD92" s="13"/>
      <c r="BE92" s="297"/>
      <c r="BF92" s="297"/>
      <c r="BG92" s="297"/>
      <c r="BH92" s="172"/>
      <c r="BI92" s="228"/>
      <c r="BJ92" s="228"/>
      <c r="BK92" s="172"/>
      <c r="BL92" s="228"/>
      <c r="BM92" s="228"/>
      <c r="BN92" s="172"/>
      <c r="BO92" s="228"/>
      <c r="BP92" s="228"/>
      <c r="BQ92" s="29"/>
    </row>
    <row r="93" spans="1:69" ht="7.5" customHeight="1">
      <c r="A93" s="19"/>
      <c r="B93" s="172" t="s">
        <v>293</v>
      </c>
      <c r="C93" s="172"/>
      <c r="D93" s="172"/>
      <c r="E93" s="172"/>
      <c r="F93" s="172"/>
      <c r="G93" s="172"/>
      <c r="H93" s="172"/>
      <c r="I93" s="172"/>
      <c r="J93" s="49"/>
      <c r="K93" s="172" t="s">
        <v>298</v>
      </c>
      <c r="L93" s="172"/>
      <c r="M93" s="172"/>
      <c r="N93" s="228">
        <f>IF(INDEX(Таблицы!AC332:AC375,Таблицы!Y337,1)="","",INDEX(Таблицы!AC332:AC375,Таблицы!Y337,1))</f>
      </c>
      <c r="O93" s="228"/>
      <c r="P93" s="228"/>
      <c r="Q93" s="384" t="s">
        <v>103</v>
      </c>
      <c r="R93" s="384"/>
      <c r="S93" s="384"/>
      <c r="T93" s="384"/>
      <c r="U93" s="385"/>
      <c r="V93" s="383" t="s">
        <v>294</v>
      </c>
      <c r="W93" s="384"/>
      <c r="X93" s="384"/>
      <c r="Y93" s="384"/>
      <c r="Z93" s="385"/>
      <c r="AA93" s="327" t="s">
        <v>299</v>
      </c>
      <c r="AB93" s="328"/>
      <c r="AC93" s="328"/>
      <c r="AD93" s="328"/>
      <c r="AE93" s="346"/>
      <c r="AF93" s="44"/>
      <c r="AG93" s="54"/>
      <c r="AH93" s="44"/>
      <c r="AI93" s="44"/>
      <c r="AJ93" s="44"/>
      <c r="AK93" s="45"/>
      <c r="AL93" s="13"/>
      <c r="AM93" s="327" t="s">
        <v>298</v>
      </c>
      <c r="AN93" s="328"/>
      <c r="AO93" s="346"/>
      <c r="AP93" s="354">
        <f>IF(INDEX(Таблицы!AC378:AC396,Таблицы!Y383,1)="","",INDEX(Таблицы!AC378:AC396,Таблицы!Y383,1))</f>
      </c>
      <c r="AQ93" s="355"/>
      <c r="AR93" s="356"/>
      <c r="AS93" s="383" t="s">
        <v>103</v>
      </c>
      <c r="AT93" s="384"/>
      <c r="AU93" s="384"/>
      <c r="AV93" s="384"/>
      <c r="AW93" s="385"/>
      <c r="AX93" s="44"/>
      <c r="AY93" s="54"/>
      <c r="AZ93" s="44"/>
      <c r="BA93" s="44"/>
      <c r="BB93" s="44"/>
      <c r="BC93" s="45"/>
      <c r="BD93" s="13"/>
      <c r="BE93" s="297"/>
      <c r="BF93" s="297"/>
      <c r="BG93" s="297"/>
      <c r="BH93" s="172" t="s">
        <v>318</v>
      </c>
      <c r="BI93" s="228">
        <f>IF(BI85="","",BI85+BI89)</f>
      </c>
      <c r="BJ93" s="228"/>
      <c r="BK93" s="172" t="s">
        <v>319</v>
      </c>
      <c r="BL93" s="172"/>
      <c r="BM93" s="204">
        <f>IF(BM85="","",BM85+BM89)</f>
      </c>
      <c r="BN93" s="206"/>
      <c r="BO93" s="204" t="s">
        <v>875</v>
      </c>
      <c r="BP93" s="206">
        <f>IF(BP85="","",BP85+BP89)</f>
      </c>
      <c r="BQ93" s="29"/>
    </row>
    <row r="94" spans="1:69" ht="7.5" customHeight="1">
      <c r="A94" s="19"/>
      <c r="B94" s="172"/>
      <c r="C94" s="172"/>
      <c r="D94" s="172"/>
      <c r="E94" s="172"/>
      <c r="F94" s="172"/>
      <c r="G94" s="172"/>
      <c r="H94" s="172"/>
      <c r="I94" s="172"/>
      <c r="J94" s="49"/>
      <c r="K94" s="172"/>
      <c r="L94" s="172"/>
      <c r="M94" s="172"/>
      <c r="N94" s="228"/>
      <c r="O94" s="228"/>
      <c r="P94" s="228"/>
      <c r="Q94" s="330"/>
      <c r="R94" s="330"/>
      <c r="S94" s="384"/>
      <c r="T94" s="384"/>
      <c r="U94" s="385"/>
      <c r="V94" s="329"/>
      <c r="W94" s="330"/>
      <c r="X94" s="384"/>
      <c r="Y94" s="384"/>
      <c r="Z94" s="385"/>
      <c r="AA94" s="329"/>
      <c r="AB94" s="330"/>
      <c r="AC94" s="330"/>
      <c r="AD94" s="330"/>
      <c r="AE94" s="347"/>
      <c r="AF94" s="53"/>
      <c r="AG94" s="13"/>
      <c r="AH94" s="46"/>
      <c r="AI94" s="46"/>
      <c r="AJ94" s="46"/>
      <c r="AK94" s="47"/>
      <c r="AL94" s="56"/>
      <c r="AM94" s="329"/>
      <c r="AN94" s="330"/>
      <c r="AO94" s="347"/>
      <c r="AP94" s="357"/>
      <c r="AQ94" s="358"/>
      <c r="AR94" s="359"/>
      <c r="AS94" s="329"/>
      <c r="AT94" s="330"/>
      <c r="AU94" s="384"/>
      <c r="AV94" s="384"/>
      <c r="AW94" s="385"/>
      <c r="AX94" s="53"/>
      <c r="AY94" s="13"/>
      <c r="AZ94" s="46"/>
      <c r="BA94" s="46"/>
      <c r="BB94" s="46"/>
      <c r="BC94" s="47"/>
      <c r="BD94" s="13"/>
      <c r="BE94" s="297"/>
      <c r="BF94" s="297"/>
      <c r="BG94" s="297"/>
      <c r="BH94" s="172"/>
      <c r="BI94" s="228"/>
      <c r="BJ94" s="228"/>
      <c r="BK94" s="172"/>
      <c r="BL94" s="172"/>
      <c r="BM94" s="205"/>
      <c r="BN94" s="207"/>
      <c r="BO94" s="205"/>
      <c r="BP94" s="207"/>
      <c r="BQ94" s="29"/>
    </row>
    <row r="95" spans="1:69" ht="7.5" customHeight="1">
      <c r="A95" s="19"/>
      <c r="B95" s="228">
        <f>O66+IF(N93="",0,N93)</f>
        <v>5</v>
      </c>
      <c r="C95" s="228"/>
      <c r="D95" s="228"/>
      <c r="E95" s="228"/>
      <c r="F95" s="228"/>
      <c r="G95" s="228"/>
      <c r="H95" s="228"/>
      <c r="I95" s="228"/>
      <c r="J95" s="58"/>
      <c r="K95" s="378" t="s">
        <v>231</v>
      </c>
      <c r="L95" s="378"/>
      <c r="M95" s="378"/>
      <c r="N95" s="378"/>
      <c r="O95" s="378"/>
      <c r="P95" s="378"/>
      <c r="Q95" s="387">
        <f>IF(INDEX(Таблицы!AD332:AD375,Таблицы!Y337,1)="",0,INDEX(Таблицы!AD332:AD375,Таблицы!Y337,1))+INDEX(Таблицы!V2:V10,Таблицы!J1,1)+IF(AND(Таблицы!J1=8,OR(Таблицы!F191=26,Таблицы!F192=26)),5,0)</f>
        <v>0</v>
      </c>
      <c r="R95" s="369"/>
      <c r="S95" s="365">
        <f>IF(INDEX(Таблицы!AE332:AE375,Таблицы!Y337,1)&lt;Таблицы!BG344/100,0,INDEX(Таблицы!AE332:AE375,Таблицы!Y337,1)-Таблицы!BG344/100)+INDEX(Таблицы!W2:W10,Таблицы!J1,1)</f>
        <v>0</v>
      </c>
      <c r="T95" s="365"/>
      <c r="U95" s="366"/>
      <c r="V95" s="274"/>
      <c r="W95" s="386"/>
      <c r="X95" s="379"/>
      <c r="Y95" s="379"/>
      <c r="Z95" s="380"/>
      <c r="AA95" s="298">
        <f>Q95+V95</f>
        <v>0</v>
      </c>
      <c r="AB95" s="369"/>
      <c r="AC95" s="365">
        <f>IF(S95+X95&lt;0,0,S95+X95)</f>
        <v>0</v>
      </c>
      <c r="AD95" s="365"/>
      <c r="AE95" s="366"/>
      <c r="AF95" s="360" t="s">
        <v>100</v>
      </c>
      <c r="AG95" s="361"/>
      <c r="AH95" s="364">
        <v>1</v>
      </c>
      <c r="AI95" s="364"/>
      <c r="AJ95" s="364">
        <v>2</v>
      </c>
      <c r="AK95" s="364"/>
      <c r="AL95" s="13"/>
      <c r="AM95" s="378" t="s">
        <v>231</v>
      </c>
      <c r="AN95" s="378"/>
      <c r="AO95" s="378"/>
      <c r="AP95" s="378"/>
      <c r="AQ95" s="378"/>
      <c r="AR95" s="378"/>
      <c r="AS95" s="298">
        <f>IF(INDEX(Таблицы!AD378:AD396,Таблицы!Y383,1)="",0,INDEX(Таблицы!AD378:AD396,Таблицы!Y383,1))</f>
        <v>0</v>
      </c>
      <c r="AT95" s="369"/>
      <c r="AU95" s="365">
        <f>IF(INDEX(Таблицы!AE378:AE396,Таблицы!Y383,1)&lt;Таблицы!BF390/100,0,INDEX(Таблицы!AE378:AE396,Таблицы!Y383,1)-Таблицы!BF390/100)</f>
        <v>0</v>
      </c>
      <c r="AV95" s="365"/>
      <c r="AW95" s="366"/>
      <c r="AX95" s="360" t="s">
        <v>100</v>
      </c>
      <c r="AY95" s="361"/>
      <c r="AZ95" s="364">
        <v>1</v>
      </c>
      <c r="BA95" s="364"/>
      <c r="BB95" s="364">
        <v>2</v>
      </c>
      <c r="BC95" s="364"/>
      <c r="BD95" s="13"/>
      <c r="BE95" s="327" t="s">
        <v>327</v>
      </c>
      <c r="BF95" s="328"/>
      <c r="BG95" s="328"/>
      <c r="BH95" s="328"/>
      <c r="BI95" s="328"/>
      <c r="BJ95" s="328"/>
      <c r="BK95" s="328"/>
      <c r="BL95" s="328"/>
      <c r="BM95" s="328"/>
      <c r="BN95" s="328"/>
      <c r="BO95" s="328"/>
      <c r="BP95" s="346"/>
      <c r="BQ95" s="29"/>
    </row>
    <row r="96" spans="1:69" ht="7.5" customHeight="1">
      <c r="A96" s="19"/>
      <c r="B96" s="228"/>
      <c r="C96" s="228"/>
      <c r="D96" s="228"/>
      <c r="E96" s="228"/>
      <c r="F96" s="228"/>
      <c r="G96" s="228"/>
      <c r="H96" s="228"/>
      <c r="I96" s="228"/>
      <c r="J96" s="58"/>
      <c r="K96" s="378"/>
      <c r="L96" s="378"/>
      <c r="M96" s="378"/>
      <c r="N96" s="378"/>
      <c r="O96" s="378"/>
      <c r="P96" s="378"/>
      <c r="Q96" s="387"/>
      <c r="R96" s="369"/>
      <c r="S96" s="367"/>
      <c r="T96" s="367"/>
      <c r="U96" s="368"/>
      <c r="V96" s="274"/>
      <c r="W96" s="386"/>
      <c r="X96" s="381"/>
      <c r="Y96" s="381"/>
      <c r="Z96" s="382"/>
      <c r="AA96" s="298"/>
      <c r="AB96" s="369"/>
      <c r="AC96" s="367"/>
      <c r="AD96" s="367"/>
      <c r="AE96" s="368"/>
      <c r="AF96" s="360"/>
      <c r="AG96" s="361"/>
      <c r="AH96" s="224"/>
      <c r="AI96" s="224"/>
      <c r="AJ96" s="224"/>
      <c r="AK96" s="224"/>
      <c r="AL96" s="13"/>
      <c r="AM96" s="378"/>
      <c r="AN96" s="378"/>
      <c r="AO96" s="378"/>
      <c r="AP96" s="378"/>
      <c r="AQ96" s="378"/>
      <c r="AR96" s="378"/>
      <c r="AS96" s="298"/>
      <c r="AT96" s="369"/>
      <c r="AU96" s="367"/>
      <c r="AV96" s="367"/>
      <c r="AW96" s="368"/>
      <c r="AX96" s="360"/>
      <c r="AY96" s="361"/>
      <c r="AZ96" s="224"/>
      <c r="BA96" s="224"/>
      <c r="BB96" s="224"/>
      <c r="BC96" s="224"/>
      <c r="BD96" s="13"/>
      <c r="BE96" s="329"/>
      <c r="BF96" s="330"/>
      <c r="BG96" s="330"/>
      <c r="BH96" s="330"/>
      <c r="BI96" s="330"/>
      <c r="BJ96" s="330"/>
      <c r="BK96" s="330"/>
      <c r="BL96" s="330"/>
      <c r="BM96" s="330"/>
      <c r="BN96" s="330"/>
      <c r="BO96" s="330"/>
      <c r="BP96" s="347"/>
      <c r="BQ96" s="29"/>
    </row>
    <row r="97" spans="1:69" ht="7.5" customHeight="1">
      <c r="A97" s="19"/>
      <c r="B97" s="172" t="s">
        <v>300</v>
      </c>
      <c r="C97" s="172"/>
      <c r="D97" s="172"/>
      <c r="E97" s="172"/>
      <c r="F97" s="172"/>
      <c r="G97" s="172"/>
      <c r="H97" s="172"/>
      <c r="I97" s="172"/>
      <c r="J97" s="49"/>
      <c r="K97" s="378" t="s">
        <v>104</v>
      </c>
      <c r="L97" s="378"/>
      <c r="M97" s="378"/>
      <c r="N97" s="378"/>
      <c r="O97" s="378"/>
      <c r="P97" s="378"/>
      <c r="Q97" s="387">
        <f>IF(INDEX(Таблицы!AF332:AF375,Таблицы!Y337,1)="",0,INDEX(Таблицы!AF332:AF375,Таблицы!Y337,1))+INDEX(Таблицы!X2:X10,Таблицы!J1,1)+IF(AND(Таблицы!J1=8,OR(Таблицы!F191=26,Таблицы!F192=26)),5,0)</f>
        <v>0</v>
      </c>
      <c r="R97" s="369"/>
      <c r="S97" s="365">
        <f>IF(INDEX(Таблицы!AG332:AG375,Таблицы!Y337,1)&lt;Таблицы!BG344/100,0,INDEX(Таблицы!AG332:AG375,Таблицы!Y337,1)-Таблицы!BG344/100)+INDEX(Таблицы!Y2:Y10,Таблицы!J1,1)</f>
        <v>0</v>
      </c>
      <c r="T97" s="365"/>
      <c r="U97" s="366"/>
      <c r="V97" s="274"/>
      <c r="W97" s="386"/>
      <c r="X97" s="379"/>
      <c r="Y97" s="379"/>
      <c r="Z97" s="380"/>
      <c r="AA97" s="298">
        <f>Q97+V97</f>
        <v>0</v>
      </c>
      <c r="AB97" s="369"/>
      <c r="AC97" s="365">
        <f>IF(S97+X97&lt;0,0,S97+X97)</f>
        <v>0</v>
      </c>
      <c r="AD97" s="365"/>
      <c r="AE97" s="366"/>
      <c r="AF97" s="360"/>
      <c r="AG97" s="361"/>
      <c r="AH97" s="224">
        <v>3</v>
      </c>
      <c r="AI97" s="224"/>
      <c r="AJ97" s="224">
        <v>4</v>
      </c>
      <c r="AK97" s="224"/>
      <c r="AL97" s="13"/>
      <c r="AM97" s="378" t="s">
        <v>104</v>
      </c>
      <c r="AN97" s="378"/>
      <c r="AO97" s="378"/>
      <c r="AP97" s="378"/>
      <c r="AQ97" s="378"/>
      <c r="AR97" s="378"/>
      <c r="AS97" s="298">
        <f>IF(INDEX(Таблицы!AF378:AF396,Таблицы!Y383,1)="",0,INDEX(Таблицы!AF378:AF396,Таблицы!Y383,1))</f>
        <v>0</v>
      </c>
      <c r="AT97" s="369"/>
      <c r="AU97" s="365">
        <f>IF(INDEX(Таблицы!AG378:AG396,Таблицы!Y383,1)&lt;Таблицы!BF390/100,0,INDEX(Таблицы!AG378:AG396,Таблицы!Y383,1)-Таблицы!BF390/100)</f>
        <v>0</v>
      </c>
      <c r="AV97" s="365"/>
      <c r="AW97" s="366"/>
      <c r="AX97" s="360"/>
      <c r="AY97" s="361"/>
      <c r="AZ97" s="224">
        <v>3</v>
      </c>
      <c r="BA97" s="224"/>
      <c r="BB97" s="224">
        <v>4</v>
      </c>
      <c r="BC97" s="224"/>
      <c r="BD97" s="13"/>
      <c r="BE97" s="348">
        <f>IF(INDEX(Таблицы!AT483:AT515,Таблицы!Y487,1)="","",INDEX(Таблицы!AT483:AT515,Таблицы!Y487,1))</f>
      </c>
      <c r="BF97" s="349"/>
      <c r="BG97" s="349"/>
      <c r="BH97" s="349"/>
      <c r="BI97" s="349"/>
      <c r="BJ97" s="349"/>
      <c r="BK97" s="349"/>
      <c r="BL97" s="349"/>
      <c r="BM97" s="349"/>
      <c r="BN97" s="349"/>
      <c r="BO97" s="349"/>
      <c r="BP97" s="350"/>
      <c r="BQ97" s="29"/>
    </row>
    <row r="98" spans="1:69" ht="7.5" customHeight="1">
      <c r="A98" s="19"/>
      <c r="B98" s="172"/>
      <c r="C98" s="172"/>
      <c r="D98" s="172"/>
      <c r="E98" s="172"/>
      <c r="F98" s="172"/>
      <c r="G98" s="172"/>
      <c r="H98" s="172"/>
      <c r="I98" s="172"/>
      <c r="J98" s="49"/>
      <c r="K98" s="378"/>
      <c r="L98" s="378"/>
      <c r="M98" s="378"/>
      <c r="N98" s="378"/>
      <c r="O98" s="378"/>
      <c r="P98" s="378"/>
      <c r="Q98" s="387"/>
      <c r="R98" s="369"/>
      <c r="S98" s="367"/>
      <c r="T98" s="367"/>
      <c r="U98" s="368"/>
      <c r="V98" s="274"/>
      <c r="W98" s="386"/>
      <c r="X98" s="381"/>
      <c r="Y98" s="381"/>
      <c r="Z98" s="382"/>
      <c r="AA98" s="298"/>
      <c r="AB98" s="369"/>
      <c r="AC98" s="367"/>
      <c r="AD98" s="367"/>
      <c r="AE98" s="368"/>
      <c r="AF98" s="360"/>
      <c r="AG98" s="361"/>
      <c r="AH98" s="224"/>
      <c r="AI98" s="224"/>
      <c r="AJ98" s="224"/>
      <c r="AK98" s="224"/>
      <c r="AL98" s="13"/>
      <c r="AM98" s="378"/>
      <c r="AN98" s="378"/>
      <c r="AO98" s="378"/>
      <c r="AP98" s="378"/>
      <c r="AQ98" s="378"/>
      <c r="AR98" s="378"/>
      <c r="AS98" s="298"/>
      <c r="AT98" s="369"/>
      <c r="AU98" s="367"/>
      <c r="AV98" s="367"/>
      <c r="AW98" s="368"/>
      <c r="AX98" s="360"/>
      <c r="AY98" s="361"/>
      <c r="AZ98" s="224"/>
      <c r="BA98" s="224"/>
      <c r="BB98" s="224"/>
      <c r="BC98" s="224"/>
      <c r="BD98" s="13"/>
      <c r="BE98" s="351"/>
      <c r="BF98" s="352"/>
      <c r="BG98" s="352"/>
      <c r="BH98" s="352"/>
      <c r="BI98" s="352"/>
      <c r="BJ98" s="352"/>
      <c r="BK98" s="352"/>
      <c r="BL98" s="352"/>
      <c r="BM98" s="352"/>
      <c r="BN98" s="352"/>
      <c r="BO98" s="352"/>
      <c r="BP98" s="353"/>
      <c r="BQ98" s="29"/>
    </row>
    <row r="99" spans="1:69" ht="7.5" customHeight="1" thickBot="1">
      <c r="A99" s="19"/>
      <c r="B99" s="227"/>
      <c r="C99" s="227"/>
      <c r="D99" s="227"/>
      <c r="E99" s="227"/>
      <c r="F99" s="227"/>
      <c r="G99" s="227"/>
      <c r="H99" s="227"/>
      <c r="I99" s="227"/>
      <c r="J99" s="58"/>
      <c r="K99" s="378" t="s">
        <v>107</v>
      </c>
      <c r="L99" s="378"/>
      <c r="M99" s="378"/>
      <c r="N99" s="378"/>
      <c r="O99" s="378"/>
      <c r="P99" s="378"/>
      <c r="Q99" s="387">
        <f>IF(INDEX(Таблицы!AH332:AH375,Таблицы!Y337,1)="",0,INDEX(Таблицы!AH332:AH375,Таблицы!Y337,1))+INDEX(Таблицы!Z2:Z10,Таблицы!J1,1)+IF(AND(Таблицы!J1=8,OR(Таблицы!F191=26,Таблицы!F192=26)),5,0)</f>
        <v>0</v>
      </c>
      <c r="R99" s="369"/>
      <c r="S99" s="365">
        <f>IF(INDEX(Таблицы!AI332:AI375,Таблицы!Y337,1)&lt;Таблицы!BG344/100,0,INDEX(Таблицы!AI332:AI375,Таблицы!Y337,1)-Таблицы!BG344/100)+INDEX(Таблицы!AA2:AA10,Таблицы!J1,1)</f>
        <v>0</v>
      </c>
      <c r="T99" s="365"/>
      <c r="U99" s="366"/>
      <c r="V99" s="274"/>
      <c r="W99" s="386"/>
      <c r="X99" s="379"/>
      <c r="Y99" s="379"/>
      <c r="Z99" s="380"/>
      <c r="AA99" s="298">
        <f>Q99+V99</f>
        <v>0</v>
      </c>
      <c r="AB99" s="369"/>
      <c r="AC99" s="365">
        <f>IF(S99+X99&lt;0,0,S99+X99)</f>
        <v>0</v>
      </c>
      <c r="AD99" s="365"/>
      <c r="AE99" s="366"/>
      <c r="AF99" s="360"/>
      <c r="AG99" s="361"/>
      <c r="AH99" s="224">
        <v>5</v>
      </c>
      <c r="AI99" s="224"/>
      <c r="AJ99" s="224">
        <v>6</v>
      </c>
      <c r="AK99" s="224"/>
      <c r="AL99" s="13"/>
      <c r="AM99" s="378" t="s">
        <v>107</v>
      </c>
      <c r="AN99" s="378"/>
      <c r="AO99" s="378"/>
      <c r="AP99" s="378"/>
      <c r="AQ99" s="378"/>
      <c r="AR99" s="378"/>
      <c r="AS99" s="298">
        <f>IF(INDEX(Таблицы!AH378:AH396,Таблицы!Y383,1)="",0,INDEX(Таблицы!AH378:AH396,Таблицы!Y383,1))</f>
        <v>0</v>
      </c>
      <c r="AT99" s="369"/>
      <c r="AU99" s="365">
        <f>IF(INDEX(Таблицы!AI378:AI396,Таблицы!Y383,1)&lt;Таблицы!BF390/100,0,INDEX(Таблицы!AI378:AI396,Таблицы!Y383,1)-Таблицы!BF390/100)</f>
        <v>0</v>
      </c>
      <c r="AV99" s="365"/>
      <c r="AW99" s="366"/>
      <c r="AX99" s="360"/>
      <c r="AY99" s="361"/>
      <c r="AZ99" s="224">
        <v>5</v>
      </c>
      <c r="BA99" s="224"/>
      <c r="BB99" s="224">
        <v>6</v>
      </c>
      <c r="BC99" s="224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29"/>
    </row>
    <row r="100" spans="1:69" ht="7.5" customHeight="1">
      <c r="A100" s="19"/>
      <c r="B100" s="227"/>
      <c r="C100" s="227"/>
      <c r="D100" s="227"/>
      <c r="E100" s="227"/>
      <c r="F100" s="227"/>
      <c r="G100" s="227"/>
      <c r="H100" s="227"/>
      <c r="I100" s="227"/>
      <c r="J100" s="58"/>
      <c r="K100" s="378"/>
      <c r="L100" s="378"/>
      <c r="M100" s="378"/>
      <c r="N100" s="378"/>
      <c r="O100" s="378"/>
      <c r="P100" s="378"/>
      <c r="Q100" s="387"/>
      <c r="R100" s="369"/>
      <c r="S100" s="367"/>
      <c r="T100" s="367"/>
      <c r="U100" s="368"/>
      <c r="V100" s="274"/>
      <c r="W100" s="386"/>
      <c r="X100" s="381"/>
      <c r="Y100" s="381"/>
      <c r="Z100" s="382"/>
      <c r="AA100" s="298"/>
      <c r="AB100" s="369"/>
      <c r="AC100" s="367"/>
      <c r="AD100" s="367"/>
      <c r="AE100" s="368"/>
      <c r="AF100" s="360"/>
      <c r="AG100" s="361"/>
      <c r="AH100" s="224"/>
      <c r="AI100" s="224"/>
      <c r="AJ100" s="224"/>
      <c r="AK100" s="224"/>
      <c r="AL100" s="13"/>
      <c r="AM100" s="378"/>
      <c r="AN100" s="378"/>
      <c r="AO100" s="378"/>
      <c r="AP100" s="378"/>
      <c r="AQ100" s="378"/>
      <c r="AR100" s="378"/>
      <c r="AS100" s="298"/>
      <c r="AT100" s="369"/>
      <c r="AU100" s="367"/>
      <c r="AV100" s="367"/>
      <c r="AW100" s="368"/>
      <c r="AX100" s="360"/>
      <c r="AY100" s="361"/>
      <c r="AZ100" s="224"/>
      <c r="BA100" s="224"/>
      <c r="BB100" s="224"/>
      <c r="BC100" s="224"/>
      <c r="BD100" s="13"/>
      <c r="BE100" s="321" t="s">
        <v>1077</v>
      </c>
      <c r="BF100" s="322"/>
      <c r="BG100" s="322"/>
      <c r="BH100" s="322"/>
      <c r="BI100" s="322"/>
      <c r="BJ100" s="322"/>
      <c r="BK100" s="322"/>
      <c r="BL100" s="322"/>
      <c r="BM100" s="322"/>
      <c r="BN100" s="322"/>
      <c r="BO100" s="322"/>
      <c r="BP100" s="323"/>
      <c r="BQ100" s="29"/>
    </row>
    <row r="101" spans="1:69" ht="7.5" customHeight="1" thickBot="1">
      <c r="A101" s="59"/>
      <c r="B101" s="172" t="s">
        <v>295</v>
      </c>
      <c r="C101" s="172"/>
      <c r="D101" s="172"/>
      <c r="E101" s="172"/>
      <c r="F101" s="172"/>
      <c r="G101" s="172"/>
      <c r="H101" s="172"/>
      <c r="I101" s="172"/>
      <c r="J101" s="49"/>
      <c r="K101" s="378" t="s">
        <v>105</v>
      </c>
      <c r="L101" s="378"/>
      <c r="M101" s="378"/>
      <c r="N101" s="378"/>
      <c r="O101" s="378"/>
      <c r="P101" s="378"/>
      <c r="Q101" s="387">
        <f>IF(INDEX(Таблицы!AJ332:AJ375,Таблицы!Y337,1)="",0,INDEX(Таблицы!AJ332:AJ375,Таблицы!Y337,1))+INDEX(Таблицы!AB2:AB10,Таблицы!J1,1)+IF(AND(Таблицы!J1=8,OR(Таблицы!F191=26,Таблицы!F192=26)),5,0)</f>
        <v>0</v>
      </c>
      <c r="R101" s="369"/>
      <c r="S101" s="365">
        <f>IF(INDEX(Таблицы!AK332:AK375,Таблицы!Y337,1)&lt;Таблицы!BG344/100,0,INDEX(Таблицы!AK332:AK375,Таблицы!Y337,1)-Таблицы!BG344/100)+INDEX(Таблицы!AC2:AC10,Таблицы!J1,1)</f>
        <v>0</v>
      </c>
      <c r="T101" s="365"/>
      <c r="U101" s="366"/>
      <c r="V101" s="274"/>
      <c r="W101" s="386"/>
      <c r="X101" s="379"/>
      <c r="Y101" s="379"/>
      <c r="Z101" s="380"/>
      <c r="AA101" s="298">
        <f>Q101+V101</f>
        <v>0</v>
      </c>
      <c r="AB101" s="369"/>
      <c r="AC101" s="365">
        <f>IF(S101+X101&lt;0,0,S101+X101)</f>
        <v>0</v>
      </c>
      <c r="AD101" s="365"/>
      <c r="AE101" s="366"/>
      <c r="AF101" s="360"/>
      <c r="AG101" s="361"/>
      <c r="AH101" s="224">
        <v>7</v>
      </c>
      <c r="AI101" s="224"/>
      <c r="AJ101" s="224">
        <v>8</v>
      </c>
      <c r="AK101" s="224"/>
      <c r="AL101" s="13"/>
      <c r="AM101" s="378" t="s">
        <v>105</v>
      </c>
      <c r="AN101" s="378"/>
      <c r="AO101" s="378"/>
      <c r="AP101" s="378"/>
      <c r="AQ101" s="378"/>
      <c r="AR101" s="378"/>
      <c r="AS101" s="298">
        <f>IF(INDEX(Таблицы!AJ378:AJ396,Таблицы!Y383,1)="",0,INDEX(Таблицы!AJ378:AJ396,Таблицы!Y383,1))</f>
        <v>0</v>
      </c>
      <c r="AT101" s="369"/>
      <c r="AU101" s="365">
        <f>IF(INDEX(Таблицы!AK378:AK396,Таблицы!Y383,1)&lt;Таблицы!BF390/100,0,INDEX(Таблицы!AK378:AK396,Таблицы!Y383,1)-Таблицы!BF390/100)</f>
        <v>0</v>
      </c>
      <c r="AV101" s="365"/>
      <c r="AW101" s="366"/>
      <c r="AX101" s="360"/>
      <c r="AY101" s="361"/>
      <c r="AZ101" s="224">
        <v>7</v>
      </c>
      <c r="BA101" s="224"/>
      <c r="BB101" s="224">
        <v>8</v>
      </c>
      <c r="BC101" s="224"/>
      <c r="BD101" s="13"/>
      <c r="BE101" s="324"/>
      <c r="BF101" s="325"/>
      <c r="BG101" s="325"/>
      <c r="BH101" s="325"/>
      <c r="BI101" s="325"/>
      <c r="BJ101" s="325"/>
      <c r="BK101" s="325"/>
      <c r="BL101" s="325"/>
      <c r="BM101" s="325"/>
      <c r="BN101" s="325"/>
      <c r="BO101" s="325"/>
      <c r="BP101" s="326"/>
      <c r="BQ101" s="29"/>
    </row>
    <row r="102" spans="1:69" ht="7.5" customHeight="1">
      <c r="A102" s="19"/>
      <c r="B102" s="172"/>
      <c r="C102" s="172"/>
      <c r="D102" s="172"/>
      <c r="E102" s="172"/>
      <c r="F102" s="172"/>
      <c r="G102" s="172"/>
      <c r="H102" s="172"/>
      <c r="I102" s="172"/>
      <c r="J102" s="49"/>
      <c r="K102" s="378"/>
      <c r="L102" s="378"/>
      <c r="M102" s="378"/>
      <c r="N102" s="378"/>
      <c r="O102" s="378"/>
      <c r="P102" s="378"/>
      <c r="Q102" s="387"/>
      <c r="R102" s="369"/>
      <c r="S102" s="367"/>
      <c r="T102" s="367"/>
      <c r="U102" s="368"/>
      <c r="V102" s="274"/>
      <c r="W102" s="386"/>
      <c r="X102" s="381"/>
      <c r="Y102" s="381"/>
      <c r="Z102" s="382"/>
      <c r="AA102" s="298"/>
      <c r="AB102" s="369"/>
      <c r="AC102" s="367"/>
      <c r="AD102" s="367"/>
      <c r="AE102" s="368"/>
      <c r="AF102" s="360"/>
      <c r="AG102" s="361"/>
      <c r="AH102" s="224"/>
      <c r="AI102" s="224"/>
      <c r="AJ102" s="224"/>
      <c r="AK102" s="224"/>
      <c r="AL102" s="13"/>
      <c r="AM102" s="378"/>
      <c r="AN102" s="378"/>
      <c r="AO102" s="378"/>
      <c r="AP102" s="378"/>
      <c r="AQ102" s="378"/>
      <c r="AR102" s="378"/>
      <c r="AS102" s="298"/>
      <c r="AT102" s="369"/>
      <c r="AU102" s="367"/>
      <c r="AV102" s="367"/>
      <c r="AW102" s="368"/>
      <c r="AX102" s="360"/>
      <c r="AY102" s="361"/>
      <c r="AZ102" s="224"/>
      <c r="BA102" s="224"/>
      <c r="BB102" s="224"/>
      <c r="BC102" s="224"/>
      <c r="BD102" s="13"/>
      <c r="BE102" s="395"/>
      <c r="BF102" s="395"/>
      <c r="BG102" s="395"/>
      <c r="BH102" s="395"/>
      <c r="BI102" s="395"/>
      <c r="BJ102" s="395"/>
      <c r="BK102" s="395"/>
      <c r="BL102" s="395"/>
      <c r="BM102" s="395"/>
      <c r="BN102" s="395"/>
      <c r="BO102" s="395"/>
      <c r="BP102" s="395"/>
      <c r="BQ102" s="29"/>
    </row>
    <row r="103" spans="1:69" ht="7.5" customHeight="1">
      <c r="A103" s="19"/>
      <c r="B103" s="228">
        <f>B95+B99</f>
        <v>5</v>
      </c>
      <c r="C103" s="228"/>
      <c r="D103" s="228"/>
      <c r="E103" s="228"/>
      <c r="F103" s="228"/>
      <c r="G103" s="228"/>
      <c r="H103" s="228"/>
      <c r="I103" s="228"/>
      <c r="J103" s="58"/>
      <c r="K103" s="378" t="s">
        <v>106</v>
      </c>
      <c r="L103" s="378"/>
      <c r="M103" s="378"/>
      <c r="N103" s="378"/>
      <c r="O103" s="378"/>
      <c r="P103" s="378"/>
      <c r="Q103" s="387">
        <f>IF(INDEX(Таблицы!AL332:AL375,Таблицы!Y337,1)="",0,INDEX(Таблицы!AL332:AL375,Таблицы!Y337,1))+INDEX(Таблицы!AD2:AD10,Таблицы!J1,1)+IF(AND(Таблицы!J1=8,OR(Таблицы!F191=26,Таблицы!F192=26)),5,0)</f>
        <v>0</v>
      </c>
      <c r="R103" s="369"/>
      <c r="S103" s="365">
        <f>IF(INDEX(Таблицы!AM332:AM375,Таблицы!Y337,1)&lt;Таблицы!BG344/100,0,INDEX(Таблицы!AM332:AM375,Таблицы!Y337,1)-Таблицы!BG344/100)+INDEX(Таблицы!AE2:AE10,Таблицы!J1,1)</f>
        <v>0</v>
      </c>
      <c r="T103" s="365"/>
      <c r="U103" s="366"/>
      <c r="V103" s="274"/>
      <c r="W103" s="386"/>
      <c r="X103" s="379"/>
      <c r="Y103" s="379"/>
      <c r="Z103" s="380"/>
      <c r="AA103" s="298">
        <f>Q103+V103</f>
        <v>0</v>
      </c>
      <c r="AB103" s="369"/>
      <c r="AC103" s="365">
        <f>IF(S103+X103&lt;0,0,S103+X103)</f>
        <v>0</v>
      </c>
      <c r="AD103" s="365"/>
      <c r="AE103" s="366"/>
      <c r="AF103" s="360"/>
      <c r="AG103" s="361"/>
      <c r="AH103" s="224">
        <v>9</v>
      </c>
      <c r="AI103" s="224"/>
      <c r="AJ103" s="224">
        <v>10</v>
      </c>
      <c r="AK103" s="224"/>
      <c r="AL103" s="13"/>
      <c r="AM103" s="378" t="s">
        <v>106</v>
      </c>
      <c r="AN103" s="378"/>
      <c r="AO103" s="378"/>
      <c r="AP103" s="378"/>
      <c r="AQ103" s="378"/>
      <c r="AR103" s="378"/>
      <c r="AS103" s="298" t="s">
        <v>285</v>
      </c>
      <c r="AT103" s="369"/>
      <c r="AU103" s="365" t="s">
        <v>285</v>
      </c>
      <c r="AV103" s="365"/>
      <c r="AW103" s="366"/>
      <c r="AX103" s="360"/>
      <c r="AY103" s="361"/>
      <c r="AZ103" s="224">
        <v>9</v>
      </c>
      <c r="BA103" s="224"/>
      <c r="BB103" s="224">
        <v>10</v>
      </c>
      <c r="BC103" s="224"/>
      <c r="BD103" s="13"/>
      <c r="BE103" s="261"/>
      <c r="BF103" s="261"/>
      <c r="BG103" s="261"/>
      <c r="BH103" s="261"/>
      <c r="BI103" s="261"/>
      <c r="BJ103" s="261"/>
      <c r="BK103" s="261"/>
      <c r="BL103" s="261"/>
      <c r="BM103" s="261"/>
      <c r="BN103" s="261"/>
      <c r="BO103" s="261"/>
      <c r="BP103" s="261"/>
      <c r="BQ103" s="29"/>
    </row>
    <row r="104" spans="1:69" ht="7.5" customHeight="1">
      <c r="A104" s="19"/>
      <c r="B104" s="228"/>
      <c r="C104" s="228"/>
      <c r="D104" s="228"/>
      <c r="E104" s="228"/>
      <c r="F104" s="228"/>
      <c r="G104" s="228"/>
      <c r="H104" s="228"/>
      <c r="I104" s="228"/>
      <c r="J104" s="26"/>
      <c r="K104" s="378"/>
      <c r="L104" s="378"/>
      <c r="M104" s="378"/>
      <c r="N104" s="378"/>
      <c r="O104" s="378"/>
      <c r="P104" s="378"/>
      <c r="Q104" s="387"/>
      <c r="R104" s="369"/>
      <c r="S104" s="367"/>
      <c r="T104" s="367"/>
      <c r="U104" s="368"/>
      <c r="V104" s="274"/>
      <c r="W104" s="386"/>
      <c r="X104" s="381"/>
      <c r="Y104" s="381"/>
      <c r="Z104" s="382"/>
      <c r="AA104" s="298"/>
      <c r="AB104" s="369"/>
      <c r="AC104" s="367"/>
      <c r="AD104" s="367"/>
      <c r="AE104" s="368"/>
      <c r="AF104" s="362"/>
      <c r="AG104" s="363"/>
      <c r="AH104" s="224"/>
      <c r="AI104" s="224"/>
      <c r="AJ104" s="224"/>
      <c r="AK104" s="224"/>
      <c r="AL104" s="13"/>
      <c r="AM104" s="378"/>
      <c r="AN104" s="378"/>
      <c r="AO104" s="378"/>
      <c r="AP104" s="378"/>
      <c r="AQ104" s="378"/>
      <c r="AR104" s="378"/>
      <c r="AS104" s="298"/>
      <c r="AT104" s="369"/>
      <c r="AU104" s="367"/>
      <c r="AV104" s="367"/>
      <c r="AW104" s="368"/>
      <c r="AX104" s="362"/>
      <c r="AY104" s="363"/>
      <c r="AZ104" s="224"/>
      <c r="BA104" s="224"/>
      <c r="BB104" s="224"/>
      <c r="BC104" s="224"/>
      <c r="BD104" s="13"/>
      <c r="BE104" s="261"/>
      <c r="BF104" s="261"/>
      <c r="BG104" s="261"/>
      <c r="BH104" s="261"/>
      <c r="BI104" s="261"/>
      <c r="BJ104" s="261"/>
      <c r="BK104" s="261"/>
      <c r="BL104" s="261"/>
      <c r="BM104" s="261"/>
      <c r="BN104" s="261"/>
      <c r="BO104" s="261"/>
      <c r="BP104" s="261"/>
      <c r="BQ104" s="29"/>
    </row>
    <row r="105" spans="1:69" ht="7.5" customHeight="1">
      <c r="A105" s="65"/>
      <c r="B105" s="46"/>
      <c r="C105" s="46"/>
      <c r="D105" s="46"/>
      <c r="E105" s="46"/>
      <c r="F105" s="68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261"/>
      <c r="BF105" s="261"/>
      <c r="BG105" s="261"/>
      <c r="BH105" s="261"/>
      <c r="BI105" s="261"/>
      <c r="BJ105" s="261"/>
      <c r="BK105" s="261"/>
      <c r="BL105" s="261"/>
      <c r="BM105" s="261"/>
      <c r="BN105" s="261"/>
      <c r="BO105" s="261"/>
      <c r="BP105" s="261"/>
      <c r="BQ105" s="29"/>
    </row>
    <row r="106" spans="1:69" ht="7.5" customHeight="1" thickBot="1">
      <c r="A106" s="19"/>
      <c r="B106" s="13"/>
      <c r="C106" s="13"/>
      <c r="D106" s="13"/>
      <c r="E106" s="13"/>
      <c r="F106" s="35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261"/>
      <c r="BF106" s="261"/>
      <c r="BG106" s="261"/>
      <c r="BH106" s="261"/>
      <c r="BI106" s="261"/>
      <c r="BJ106" s="261"/>
      <c r="BK106" s="261"/>
      <c r="BL106" s="261"/>
      <c r="BM106" s="261"/>
      <c r="BN106" s="261"/>
      <c r="BO106" s="261"/>
      <c r="BP106" s="261"/>
      <c r="BQ106" s="29"/>
    </row>
    <row r="107" spans="1:69" ht="7.5" customHeight="1">
      <c r="A107" s="19"/>
      <c r="B107" s="370" t="s">
        <v>301</v>
      </c>
      <c r="C107" s="371"/>
      <c r="D107" s="371"/>
      <c r="E107" s="371"/>
      <c r="F107" s="371"/>
      <c r="G107" s="371"/>
      <c r="H107" s="371"/>
      <c r="I107" s="371"/>
      <c r="J107" s="371"/>
      <c r="K107" s="371"/>
      <c r="L107" s="371"/>
      <c r="M107" s="371"/>
      <c r="N107" s="371"/>
      <c r="O107" s="371"/>
      <c r="P107" s="371"/>
      <c r="Q107" s="371"/>
      <c r="R107" s="371"/>
      <c r="S107" s="371"/>
      <c r="T107" s="371"/>
      <c r="U107" s="371"/>
      <c r="V107" s="371"/>
      <c r="W107" s="371"/>
      <c r="X107" s="371"/>
      <c r="Y107" s="371"/>
      <c r="Z107" s="371"/>
      <c r="AA107" s="371"/>
      <c r="AB107" s="371"/>
      <c r="AC107" s="371"/>
      <c r="AD107" s="371"/>
      <c r="AE107" s="371"/>
      <c r="AF107" s="371"/>
      <c r="AG107" s="371"/>
      <c r="AH107" s="371"/>
      <c r="AI107" s="371"/>
      <c r="AJ107" s="371"/>
      <c r="AK107" s="371"/>
      <c r="AL107" s="371"/>
      <c r="AM107" s="371"/>
      <c r="AN107" s="371"/>
      <c r="AO107" s="371"/>
      <c r="AP107" s="371"/>
      <c r="AQ107" s="371"/>
      <c r="AR107" s="371"/>
      <c r="AS107" s="371"/>
      <c r="AT107" s="371"/>
      <c r="AU107" s="371"/>
      <c r="AV107" s="371"/>
      <c r="AW107" s="371"/>
      <c r="AX107" s="371"/>
      <c r="AY107" s="371"/>
      <c r="AZ107" s="371"/>
      <c r="BA107" s="371"/>
      <c r="BB107" s="371"/>
      <c r="BC107" s="372"/>
      <c r="BD107" s="13"/>
      <c r="BE107" s="261"/>
      <c r="BF107" s="261"/>
      <c r="BG107" s="261"/>
      <c r="BH107" s="261"/>
      <c r="BI107" s="261"/>
      <c r="BJ107" s="261"/>
      <c r="BK107" s="261"/>
      <c r="BL107" s="261"/>
      <c r="BM107" s="261"/>
      <c r="BN107" s="261"/>
      <c r="BO107" s="261"/>
      <c r="BP107" s="261"/>
      <c r="BQ107" s="29"/>
    </row>
    <row r="108" spans="1:69" ht="7.5" customHeight="1">
      <c r="A108" s="19"/>
      <c r="B108" s="392"/>
      <c r="C108" s="393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3"/>
      <c r="V108" s="393"/>
      <c r="W108" s="393"/>
      <c r="X108" s="393"/>
      <c r="Y108" s="393"/>
      <c r="Z108" s="393"/>
      <c r="AA108" s="393"/>
      <c r="AB108" s="393"/>
      <c r="AC108" s="393"/>
      <c r="AD108" s="393"/>
      <c r="AE108" s="393"/>
      <c r="AF108" s="393"/>
      <c r="AG108" s="393"/>
      <c r="AH108" s="393"/>
      <c r="AI108" s="393"/>
      <c r="AJ108" s="393"/>
      <c r="AK108" s="393"/>
      <c r="AL108" s="393"/>
      <c r="AM108" s="393"/>
      <c r="AN108" s="393"/>
      <c r="AO108" s="393"/>
      <c r="AP108" s="393"/>
      <c r="AQ108" s="393"/>
      <c r="AR108" s="393"/>
      <c r="AS108" s="393"/>
      <c r="AT108" s="393"/>
      <c r="AU108" s="393"/>
      <c r="AV108" s="393"/>
      <c r="AW108" s="393"/>
      <c r="AX108" s="393"/>
      <c r="AY108" s="393"/>
      <c r="AZ108" s="393"/>
      <c r="BA108" s="393"/>
      <c r="BB108" s="393"/>
      <c r="BC108" s="394"/>
      <c r="BD108" s="13"/>
      <c r="BE108" s="261"/>
      <c r="BF108" s="261"/>
      <c r="BG108" s="261"/>
      <c r="BH108" s="261"/>
      <c r="BI108" s="261"/>
      <c r="BJ108" s="261"/>
      <c r="BK108" s="261"/>
      <c r="BL108" s="261"/>
      <c r="BM108" s="261"/>
      <c r="BN108" s="261"/>
      <c r="BO108" s="261"/>
      <c r="BP108" s="261"/>
      <c r="BQ108" s="29"/>
    </row>
    <row r="109" spans="1:69" ht="7.5" customHeight="1">
      <c r="A109" s="19"/>
      <c r="B109" s="336" t="s">
        <v>303</v>
      </c>
      <c r="C109" s="334" t="s">
        <v>304</v>
      </c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88" t="s">
        <v>98</v>
      </c>
      <c r="R109" s="388"/>
      <c r="S109" s="388"/>
      <c r="T109" s="388" t="s">
        <v>229</v>
      </c>
      <c r="U109" s="388"/>
      <c r="V109" s="388"/>
      <c r="W109" s="388" t="s">
        <v>302</v>
      </c>
      <c r="X109" s="388"/>
      <c r="Y109" s="388"/>
      <c r="Z109" s="388" t="s">
        <v>70</v>
      </c>
      <c r="AA109" s="388"/>
      <c r="AB109" s="388"/>
      <c r="AC109" s="334" t="s">
        <v>303</v>
      </c>
      <c r="AD109" s="334" t="s">
        <v>304</v>
      </c>
      <c r="AE109" s="334"/>
      <c r="AF109" s="334"/>
      <c r="AG109" s="334"/>
      <c r="AH109" s="334"/>
      <c r="AI109" s="334"/>
      <c r="AJ109" s="334"/>
      <c r="AK109" s="334"/>
      <c r="AL109" s="334"/>
      <c r="AM109" s="334"/>
      <c r="AN109" s="334"/>
      <c r="AO109" s="334"/>
      <c r="AP109" s="334"/>
      <c r="AQ109" s="334"/>
      <c r="AR109" s="388" t="s">
        <v>98</v>
      </c>
      <c r="AS109" s="388"/>
      <c r="AT109" s="388"/>
      <c r="AU109" s="388" t="s">
        <v>229</v>
      </c>
      <c r="AV109" s="388"/>
      <c r="AW109" s="388"/>
      <c r="AX109" s="388" t="s">
        <v>302</v>
      </c>
      <c r="AY109" s="388"/>
      <c r="AZ109" s="388"/>
      <c r="BA109" s="388" t="s">
        <v>70</v>
      </c>
      <c r="BB109" s="388"/>
      <c r="BC109" s="390"/>
      <c r="BD109" s="13"/>
      <c r="BE109" s="261"/>
      <c r="BF109" s="261"/>
      <c r="BG109" s="261"/>
      <c r="BH109" s="261"/>
      <c r="BI109" s="261"/>
      <c r="BJ109" s="261"/>
      <c r="BK109" s="261"/>
      <c r="BL109" s="261"/>
      <c r="BM109" s="261"/>
      <c r="BN109" s="261"/>
      <c r="BO109" s="261"/>
      <c r="BP109" s="261"/>
      <c r="BQ109" s="29"/>
    </row>
    <row r="110" spans="1:69" ht="7.5" customHeight="1" thickBot="1">
      <c r="A110" s="19"/>
      <c r="B110" s="337"/>
      <c r="C110" s="335"/>
      <c r="D110" s="335"/>
      <c r="E110" s="335"/>
      <c r="F110" s="335"/>
      <c r="G110" s="335"/>
      <c r="H110" s="335"/>
      <c r="I110" s="335"/>
      <c r="J110" s="335"/>
      <c r="K110" s="335"/>
      <c r="L110" s="335"/>
      <c r="M110" s="335"/>
      <c r="N110" s="335"/>
      <c r="O110" s="335"/>
      <c r="P110" s="335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35"/>
      <c r="AD110" s="335"/>
      <c r="AE110" s="335"/>
      <c r="AF110" s="335"/>
      <c r="AG110" s="335"/>
      <c r="AH110" s="335"/>
      <c r="AI110" s="335"/>
      <c r="AJ110" s="335"/>
      <c r="AK110" s="335"/>
      <c r="AL110" s="335"/>
      <c r="AM110" s="335"/>
      <c r="AN110" s="335"/>
      <c r="AO110" s="335"/>
      <c r="AP110" s="335"/>
      <c r="AQ110" s="335"/>
      <c r="AR110" s="389"/>
      <c r="AS110" s="389"/>
      <c r="AT110" s="389"/>
      <c r="AU110" s="389"/>
      <c r="AV110" s="389"/>
      <c r="AW110" s="389"/>
      <c r="AX110" s="389"/>
      <c r="AY110" s="389"/>
      <c r="AZ110" s="389"/>
      <c r="BA110" s="389"/>
      <c r="BB110" s="389"/>
      <c r="BC110" s="391"/>
      <c r="BD110" s="13"/>
      <c r="BE110" s="261"/>
      <c r="BF110" s="261"/>
      <c r="BG110" s="261"/>
      <c r="BH110" s="261"/>
      <c r="BI110" s="261"/>
      <c r="BJ110" s="261"/>
      <c r="BK110" s="261"/>
      <c r="BL110" s="261"/>
      <c r="BM110" s="261"/>
      <c r="BN110" s="261"/>
      <c r="BO110" s="261"/>
      <c r="BP110" s="261"/>
      <c r="BQ110" s="29"/>
    </row>
    <row r="111" spans="1:69" ht="7.5" customHeight="1">
      <c r="A111" s="19"/>
      <c r="B111" s="308">
        <v>1</v>
      </c>
      <c r="C111" s="499"/>
      <c r="D111" s="499"/>
      <c r="E111" s="499"/>
      <c r="F111" s="499"/>
      <c r="G111" s="499"/>
      <c r="H111" s="499"/>
      <c r="I111" s="499"/>
      <c r="J111" s="499"/>
      <c r="K111" s="499"/>
      <c r="L111" s="499"/>
      <c r="M111" s="499"/>
      <c r="N111" s="499"/>
      <c r="O111" s="499"/>
      <c r="P111" s="499"/>
      <c r="Q111" s="500"/>
      <c r="R111" s="500"/>
      <c r="S111" s="500"/>
      <c r="T111" s="299">
        <f>IF(INDEX(Таблицы!AA398:AA462,Таблицы!Y438,1)="",0,INDEX(Таблицы!AA398:AA462,Таблицы!Y438,1))</f>
        <v>0</v>
      </c>
      <c r="U111" s="299"/>
      <c r="V111" s="299"/>
      <c r="W111" s="299">
        <f>IF(AK39&lt;30,T111*3,IF(AK39&lt;126,T111*2+T111*(100-AK39)/100,T111*(AK39-100)/100))</f>
        <v>0</v>
      </c>
      <c r="X111" s="299"/>
      <c r="Y111" s="299"/>
      <c r="Z111" s="299">
        <f>IF(INDEX(Таблицы!AB398:AB462,Таблицы!Y438,1)="",0,INDEX(Таблицы!AB398:AB462,Таблицы!Y438,1))*Q111</f>
        <v>0</v>
      </c>
      <c r="AA111" s="299"/>
      <c r="AB111" s="299"/>
      <c r="AC111" s="307">
        <v>8</v>
      </c>
      <c r="AD111" s="309"/>
      <c r="AE111" s="310"/>
      <c r="AF111" s="310"/>
      <c r="AG111" s="310"/>
      <c r="AH111" s="310"/>
      <c r="AI111" s="310"/>
      <c r="AJ111" s="310"/>
      <c r="AK111" s="310"/>
      <c r="AL111" s="310"/>
      <c r="AM111" s="310"/>
      <c r="AN111" s="310"/>
      <c r="AO111" s="310"/>
      <c r="AP111" s="310"/>
      <c r="AQ111" s="311"/>
      <c r="AR111" s="315"/>
      <c r="AS111" s="316"/>
      <c r="AT111" s="317"/>
      <c r="AU111" s="299">
        <f>IF(INDEX(Таблицы!AA398:AA462,Таблицы!Y445,1)="",0,INDEX(Таблицы!AA398:AA462,Таблицы!Y445,1))</f>
        <v>0</v>
      </c>
      <c r="AV111" s="299"/>
      <c r="AW111" s="299"/>
      <c r="AX111" s="301">
        <f>IF(BL39&lt;30,AU111*3,IF(BL39&lt;126,AU111*2+AU111*(100-BL39)/100,AU111*(BL39-100)/100))</f>
        <v>0</v>
      </c>
      <c r="AY111" s="302"/>
      <c r="AZ111" s="303"/>
      <c r="BA111" s="299">
        <f>IF(INDEX(Таблицы!AB398:AB462,Таблицы!Y445,1)="",0,INDEX(Таблицы!AB398:AB462,Таблицы!Y445,1))*AR111</f>
        <v>0</v>
      </c>
      <c r="BB111" s="299"/>
      <c r="BC111" s="299"/>
      <c r="BD111" s="13"/>
      <c r="BE111" s="261"/>
      <c r="BF111" s="261"/>
      <c r="BG111" s="261"/>
      <c r="BH111" s="261"/>
      <c r="BI111" s="261"/>
      <c r="BJ111" s="261"/>
      <c r="BK111" s="261"/>
      <c r="BL111" s="261"/>
      <c r="BM111" s="261"/>
      <c r="BN111" s="261"/>
      <c r="BO111" s="261"/>
      <c r="BP111" s="261"/>
      <c r="BQ111" s="29"/>
    </row>
    <row r="112" spans="1:69" ht="7.5" customHeight="1">
      <c r="A112" s="19"/>
      <c r="B112" s="332"/>
      <c r="C112" s="333"/>
      <c r="D112" s="333"/>
      <c r="E112" s="333"/>
      <c r="F112" s="333"/>
      <c r="G112" s="333"/>
      <c r="H112" s="333"/>
      <c r="I112" s="333"/>
      <c r="J112" s="333"/>
      <c r="K112" s="333"/>
      <c r="L112" s="333"/>
      <c r="M112" s="333"/>
      <c r="N112" s="333"/>
      <c r="O112" s="333"/>
      <c r="P112" s="333"/>
      <c r="Q112" s="331"/>
      <c r="R112" s="331"/>
      <c r="S112" s="331"/>
      <c r="T112" s="300"/>
      <c r="U112" s="300"/>
      <c r="V112" s="300"/>
      <c r="W112" s="300"/>
      <c r="X112" s="300"/>
      <c r="Y112" s="300"/>
      <c r="Z112" s="300"/>
      <c r="AA112" s="300"/>
      <c r="AB112" s="300"/>
      <c r="AC112" s="307"/>
      <c r="AD112" s="309"/>
      <c r="AE112" s="310"/>
      <c r="AF112" s="310"/>
      <c r="AG112" s="310"/>
      <c r="AH112" s="310"/>
      <c r="AI112" s="310"/>
      <c r="AJ112" s="310"/>
      <c r="AK112" s="310"/>
      <c r="AL112" s="310"/>
      <c r="AM112" s="310"/>
      <c r="AN112" s="310"/>
      <c r="AO112" s="310"/>
      <c r="AP112" s="310"/>
      <c r="AQ112" s="311"/>
      <c r="AR112" s="315"/>
      <c r="AS112" s="316"/>
      <c r="AT112" s="317"/>
      <c r="AU112" s="300"/>
      <c r="AV112" s="300"/>
      <c r="AW112" s="300"/>
      <c r="AX112" s="301"/>
      <c r="AY112" s="302"/>
      <c r="AZ112" s="303"/>
      <c r="BA112" s="300"/>
      <c r="BB112" s="300"/>
      <c r="BC112" s="300"/>
      <c r="BD112" s="13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29"/>
    </row>
    <row r="113" spans="1:69" ht="7.5" customHeight="1" thickBot="1">
      <c r="A113" s="19"/>
      <c r="B113" s="332"/>
      <c r="C113" s="333"/>
      <c r="D113" s="333"/>
      <c r="E113" s="333"/>
      <c r="F113" s="333"/>
      <c r="G113" s="333"/>
      <c r="H113" s="333"/>
      <c r="I113" s="333"/>
      <c r="J113" s="333"/>
      <c r="K113" s="333"/>
      <c r="L113" s="333"/>
      <c r="M113" s="333"/>
      <c r="N113" s="333"/>
      <c r="O113" s="333"/>
      <c r="P113" s="333"/>
      <c r="Q113" s="331"/>
      <c r="R113" s="331"/>
      <c r="S113" s="331"/>
      <c r="T113" s="300"/>
      <c r="U113" s="300"/>
      <c r="V113" s="300"/>
      <c r="W113" s="300"/>
      <c r="X113" s="300"/>
      <c r="Y113" s="300"/>
      <c r="Z113" s="300"/>
      <c r="AA113" s="300"/>
      <c r="AB113" s="300"/>
      <c r="AC113" s="308"/>
      <c r="AD113" s="312"/>
      <c r="AE113" s="313"/>
      <c r="AF113" s="313"/>
      <c r="AG113" s="313"/>
      <c r="AH113" s="313"/>
      <c r="AI113" s="313"/>
      <c r="AJ113" s="313"/>
      <c r="AK113" s="313"/>
      <c r="AL113" s="313"/>
      <c r="AM113" s="313"/>
      <c r="AN113" s="313"/>
      <c r="AO113" s="313"/>
      <c r="AP113" s="313"/>
      <c r="AQ113" s="314"/>
      <c r="AR113" s="318"/>
      <c r="AS113" s="319"/>
      <c r="AT113" s="320"/>
      <c r="AU113" s="300"/>
      <c r="AV113" s="300"/>
      <c r="AW113" s="300"/>
      <c r="AX113" s="304"/>
      <c r="AY113" s="305"/>
      <c r="AZ113" s="306"/>
      <c r="BA113" s="300"/>
      <c r="BB113" s="300"/>
      <c r="BC113" s="300"/>
      <c r="BD113" s="13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29"/>
    </row>
    <row r="114" spans="1:69" ht="7.5" customHeight="1">
      <c r="A114" s="19"/>
      <c r="B114" s="332">
        <v>2</v>
      </c>
      <c r="C114" s="333"/>
      <c r="D114" s="333"/>
      <c r="E114" s="333"/>
      <c r="F114" s="333"/>
      <c r="G114" s="333"/>
      <c r="H114" s="333"/>
      <c r="I114" s="333"/>
      <c r="J114" s="333"/>
      <c r="K114" s="333"/>
      <c r="L114" s="333"/>
      <c r="M114" s="333"/>
      <c r="N114" s="333"/>
      <c r="O114" s="333"/>
      <c r="P114" s="333"/>
      <c r="Q114" s="331"/>
      <c r="R114" s="331"/>
      <c r="S114" s="331"/>
      <c r="T114" s="299">
        <f>IF(INDEX(Таблицы!AA398:AA462,Таблицы!Y439,1)="",0,INDEX(Таблицы!AA398:AA462,Таблицы!Y439,1))</f>
        <v>0</v>
      </c>
      <c r="U114" s="299"/>
      <c r="V114" s="299"/>
      <c r="W114" s="300">
        <f>IF(AK39&lt;30,T114*3,IF(AK39&lt;126,T114*2+T114*(100-AK39)/100,T114*(AK39-100)/100))</f>
        <v>0</v>
      </c>
      <c r="X114" s="300"/>
      <c r="Y114" s="300"/>
      <c r="Z114" s="299">
        <f>IF(INDEX(Таблицы!AB398:AB462,Таблицы!Y439,1)="",0,INDEX(Таблицы!AB398:AB462,Таблицы!Y439,1))*Q114</f>
        <v>0</v>
      </c>
      <c r="AA114" s="299"/>
      <c r="AB114" s="299"/>
      <c r="AC114" s="273">
        <v>9</v>
      </c>
      <c r="AD114" s="272"/>
      <c r="AE114" s="272"/>
      <c r="AF114" s="272"/>
      <c r="AG114" s="272"/>
      <c r="AH114" s="272"/>
      <c r="AI114" s="272"/>
      <c r="AJ114" s="272"/>
      <c r="AK114" s="272"/>
      <c r="AL114" s="272"/>
      <c r="AM114" s="272"/>
      <c r="AN114" s="272"/>
      <c r="AO114" s="272"/>
      <c r="AP114" s="272"/>
      <c r="AQ114" s="272"/>
      <c r="AR114" s="274"/>
      <c r="AS114" s="274"/>
      <c r="AT114" s="274"/>
      <c r="AU114" s="274"/>
      <c r="AV114" s="274"/>
      <c r="AW114" s="274"/>
      <c r="AX114" s="298">
        <f>IF(BL39&lt;30,AU114*3,IF(BL39&lt;126,AU114*2+AU114*(100-BL39)/100,AU114*(BL39-100)/100))</f>
        <v>0</v>
      </c>
      <c r="AY114" s="298"/>
      <c r="AZ114" s="298"/>
      <c r="BA114" s="274"/>
      <c r="BB114" s="274"/>
      <c r="BC114" s="274"/>
      <c r="BD114" s="13"/>
      <c r="BE114" s="321" t="s">
        <v>326</v>
      </c>
      <c r="BF114" s="322"/>
      <c r="BG114" s="322"/>
      <c r="BH114" s="322"/>
      <c r="BI114" s="322"/>
      <c r="BJ114" s="322"/>
      <c r="BK114" s="322"/>
      <c r="BL114" s="322"/>
      <c r="BM114" s="322"/>
      <c r="BN114" s="322"/>
      <c r="BO114" s="322"/>
      <c r="BP114" s="323"/>
      <c r="BQ114" s="29"/>
    </row>
    <row r="115" spans="1:69" ht="7.5" customHeight="1" thickBot="1">
      <c r="A115" s="19"/>
      <c r="B115" s="332"/>
      <c r="C115" s="333"/>
      <c r="D115" s="333"/>
      <c r="E115" s="333"/>
      <c r="F115" s="333"/>
      <c r="G115" s="333"/>
      <c r="H115" s="333"/>
      <c r="I115" s="333"/>
      <c r="J115" s="333"/>
      <c r="K115" s="333"/>
      <c r="L115" s="333"/>
      <c r="M115" s="333"/>
      <c r="N115" s="333"/>
      <c r="O115" s="333"/>
      <c r="P115" s="333"/>
      <c r="Q115" s="331"/>
      <c r="R115" s="331"/>
      <c r="S115" s="331"/>
      <c r="T115" s="300"/>
      <c r="U115" s="300"/>
      <c r="V115" s="300"/>
      <c r="W115" s="300"/>
      <c r="X115" s="300"/>
      <c r="Y115" s="300"/>
      <c r="Z115" s="300"/>
      <c r="AA115" s="300"/>
      <c r="AB115" s="300"/>
      <c r="AC115" s="273"/>
      <c r="AD115" s="272"/>
      <c r="AE115" s="272"/>
      <c r="AF115" s="272"/>
      <c r="AG115" s="272"/>
      <c r="AH115" s="272"/>
      <c r="AI115" s="272"/>
      <c r="AJ115" s="272"/>
      <c r="AK115" s="272"/>
      <c r="AL115" s="272"/>
      <c r="AM115" s="272"/>
      <c r="AN115" s="272"/>
      <c r="AO115" s="272"/>
      <c r="AP115" s="272"/>
      <c r="AQ115" s="272"/>
      <c r="AR115" s="274"/>
      <c r="AS115" s="274"/>
      <c r="AT115" s="274"/>
      <c r="AU115" s="274"/>
      <c r="AV115" s="274"/>
      <c r="AW115" s="274"/>
      <c r="AX115" s="298"/>
      <c r="AY115" s="298"/>
      <c r="AZ115" s="298"/>
      <c r="BA115" s="274"/>
      <c r="BB115" s="274"/>
      <c r="BC115" s="274"/>
      <c r="BD115" s="13"/>
      <c r="BE115" s="324"/>
      <c r="BF115" s="325"/>
      <c r="BG115" s="325"/>
      <c r="BH115" s="325"/>
      <c r="BI115" s="325"/>
      <c r="BJ115" s="325"/>
      <c r="BK115" s="325"/>
      <c r="BL115" s="325"/>
      <c r="BM115" s="325"/>
      <c r="BN115" s="325"/>
      <c r="BO115" s="325"/>
      <c r="BP115" s="326"/>
      <c r="BQ115" s="29"/>
    </row>
    <row r="116" spans="1:69" ht="7.5" customHeight="1">
      <c r="A116" s="19"/>
      <c r="B116" s="332"/>
      <c r="C116" s="333"/>
      <c r="D116" s="333"/>
      <c r="E116" s="333"/>
      <c r="F116" s="333"/>
      <c r="G116" s="333"/>
      <c r="H116" s="333"/>
      <c r="I116" s="333"/>
      <c r="J116" s="333"/>
      <c r="K116" s="333"/>
      <c r="L116" s="333"/>
      <c r="M116" s="333"/>
      <c r="N116" s="333"/>
      <c r="O116" s="333"/>
      <c r="P116" s="333"/>
      <c r="Q116" s="331"/>
      <c r="R116" s="331"/>
      <c r="S116" s="331"/>
      <c r="T116" s="300"/>
      <c r="U116" s="300"/>
      <c r="V116" s="300"/>
      <c r="W116" s="300"/>
      <c r="X116" s="300"/>
      <c r="Y116" s="300"/>
      <c r="Z116" s="300"/>
      <c r="AA116" s="300"/>
      <c r="AB116" s="300"/>
      <c r="AC116" s="273">
        <v>10</v>
      </c>
      <c r="AD116" s="272"/>
      <c r="AE116" s="272"/>
      <c r="AF116" s="272"/>
      <c r="AG116" s="272"/>
      <c r="AH116" s="272"/>
      <c r="AI116" s="272"/>
      <c r="AJ116" s="272"/>
      <c r="AK116" s="272"/>
      <c r="AL116" s="272"/>
      <c r="AM116" s="272"/>
      <c r="AN116" s="272"/>
      <c r="AO116" s="272"/>
      <c r="AP116" s="272"/>
      <c r="AQ116" s="272"/>
      <c r="AR116" s="274"/>
      <c r="AS116" s="274"/>
      <c r="AT116" s="274"/>
      <c r="AU116" s="274"/>
      <c r="AV116" s="274"/>
      <c r="AW116" s="274"/>
      <c r="AX116" s="298">
        <f>IF(BL39&lt;30,AU116*3,IF(BL39&lt;126,AU116*2+AU116*(100-BL39)/100,AU116*(BL39-100)/100))</f>
        <v>0</v>
      </c>
      <c r="AY116" s="298"/>
      <c r="AZ116" s="298"/>
      <c r="BA116" s="274"/>
      <c r="BB116" s="274"/>
      <c r="BC116" s="274"/>
      <c r="BD116" s="13"/>
      <c r="BE116" s="261"/>
      <c r="BF116" s="261"/>
      <c r="BG116" s="261"/>
      <c r="BH116" s="261"/>
      <c r="BI116" s="261"/>
      <c r="BJ116" s="261"/>
      <c r="BK116" s="261"/>
      <c r="BL116" s="261"/>
      <c r="BM116" s="261"/>
      <c r="BN116" s="261"/>
      <c r="BO116" s="261"/>
      <c r="BP116" s="261"/>
      <c r="BQ116" s="29"/>
    </row>
    <row r="117" spans="1:69" ht="7.5" customHeight="1">
      <c r="A117" s="19"/>
      <c r="B117" s="332">
        <v>3</v>
      </c>
      <c r="C117" s="333"/>
      <c r="D117" s="333"/>
      <c r="E117" s="333"/>
      <c r="F117" s="333"/>
      <c r="G117" s="333"/>
      <c r="H117" s="333"/>
      <c r="I117" s="333"/>
      <c r="J117" s="333"/>
      <c r="K117" s="333"/>
      <c r="L117" s="333"/>
      <c r="M117" s="333"/>
      <c r="N117" s="333"/>
      <c r="O117" s="333"/>
      <c r="P117" s="333"/>
      <c r="Q117" s="331"/>
      <c r="R117" s="331"/>
      <c r="S117" s="331"/>
      <c r="T117" s="299">
        <f>IF(INDEX(Таблицы!AA398:AA462,Таблицы!Y440,1)="",0,INDEX(Таблицы!AA398:AA462,Таблицы!Y440,1))</f>
        <v>0</v>
      </c>
      <c r="U117" s="299"/>
      <c r="V117" s="299"/>
      <c r="W117" s="300">
        <f>IF(AK39&lt;30,T117*3,IF(AK39&lt;126,T117*2+T117*(100-AK39)/100,T117*(AK39-100)/100))</f>
        <v>0</v>
      </c>
      <c r="X117" s="300"/>
      <c r="Y117" s="300"/>
      <c r="Z117" s="299">
        <f>IF(INDEX(Таблицы!AB398:AB462,Таблицы!Y440,1)="",0,INDEX(Таблицы!AB398:AB462,Таблицы!Y440,1))*Q117</f>
        <v>0</v>
      </c>
      <c r="AA117" s="299"/>
      <c r="AB117" s="299"/>
      <c r="AC117" s="273"/>
      <c r="AD117" s="272"/>
      <c r="AE117" s="272"/>
      <c r="AF117" s="272"/>
      <c r="AG117" s="272"/>
      <c r="AH117" s="272"/>
      <c r="AI117" s="272"/>
      <c r="AJ117" s="272"/>
      <c r="AK117" s="272"/>
      <c r="AL117" s="272"/>
      <c r="AM117" s="272"/>
      <c r="AN117" s="272"/>
      <c r="AO117" s="272"/>
      <c r="AP117" s="272"/>
      <c r="AQ117" s="272"/>
      <c r="AR117" s="274"/>
      <c r="AS117" s="274"/>
      <c r="AT117" s="274"/>
      <c r="AU117" s="274"/>
      <c r="AV117" s="274"/>
      <c r="AW117" s="274"/>
      <c r="AX117" s="298"/>
      <c r="AY117" s="298"/>
      <c r="AZ117" s="298"/>
      <c r="BA117" s="274"/>
      <c r="BB117" s="274"/>
      <c r="BC117" s="274"/>
      <c r="BD117" s="13"/>
      <c r="BE117" s="261"/>
      <c r="BF117" s="261"/>
      <c r="BG117" s="261"/>
      <c r="BH117" s="261"/>
      <c r="BI117" s="261"/>
      <c r="BJ117" s="261"/>
      <c r="BK117" s="261"/>
      <c r="BL117" s="261"/>
      <c r="BM117" s="261"/>
      <c r="BN117" s="261"/>
      <c r="BO117" s="261"/>
      <c r="BP117" s="261"/>
      <c r="BQ117" s="29"/>
    </row>
    <row r="118" spans="1:69" ht="7.5" customHeight="1">
      <c r="A118" s="19"/>
      <c r="B118" s="332"/>
      <c r="C118" s="333"/>
      <c r="D118" s="333"/>
      <c r="E118" s="333"/>
      <c r="F118" s="333"/>
      <c r="G118" s="333"/>
      <c r="H118" s="333"/>
      <c r="I118" s="333"/>
      <c r="J118" s="333"/>
      <c r="K118" s="333"/>
      <c r="L118" s="333"/>
      <c r="M118" s="333"/>
      <c r="N118" s="333"/>
      <c r="O118" s="333"/>
      <c r="P118" s="333"/>
      <c r="Q118" s="331"/>
      <c r="R118" s="331"/>
      <c r="S118" s="331"/>
      <c r="T118" s="300"/>
      <c r="U118" s="300"/>
      <c r="V118" s="300"/>
      <c r="W118" s="300"/>
      <c r="X118" s="300"/>
      <c r="Y118" s="300"/>
      <c r="Z118" s="300"/>
      <c r="AA118" s="300"/>
      <c r="AB118" s="300"/>
      <c r="AC118" s="273">
        <v>11</v>
      </c>
      <c r="AD118" s="272"/>
      <c r="AE118" s="272"/>
      <c r="AF118" s="272"/>
      <c r="AG118" s="272"/>
      <c r="AH118" s="272"/>
      <c r="AI118" s="272"/>
      <c r="AJ118" s="272"/>
      <c r="AK118" s="272"/>
      <c r="AL118" s="272"/>
      <c r="AM118" s="272"/>
      <c r="AN118" s="272"/>
      <c r="AO118" s="272"/>
      <c r="AP118" s="272"/>
      <c r="AQ118" s="272"/>
      <c r="AR118" s="274"/>
      <c r="AS118" s="274"/>
      <c r="AT118" s="274"/>
      <c r="AU118" s="274"/>
      <c r="AV118" s="274"/>
      <c r="AW118" s="274"/>
      <c r="AX118" s="298">
        <f>IF(BL39&lt;30,AU118*3,IF(BL39&lt;126,AU118*2+AU118*(100-BL39)/100,AU118*(BL39-100)/100))</f>
        <v>0</v>
      </c>
      <c r="AY118" s="298"/>
      <c r="AZ118" s="298"/>
      <c r="BA118" s="274"/>
      <c r="BB118" s="274"/>
      <c r="BC118" s="274"/>
      <c r="BD118" s="13"/>
      <c r="BE118" s="261"/>
      <c r="BF118" s="261"/>
      <c r="BG118" s="261"/>
      <c r="BH118" s="261"/>
      <c r="BI118" s="261"/>
      <c r="BJ118" s="261"/>
      <c r="BK118" s="261"/>
      <c r="BL118" s="261"/>
      <c r="BM118" s="261"/>
      <c r="BN118" s="261"/>
      <c r="BO118" s="261"/>
      <c r="BP118" s="261"/>
      <c r="BQ118" s="29"/>
    </row>
    <row r="119" spans="1:69" ht="7.5" customHeight="1">
      <c r="A119" s="19"/>
      <c r="B119" s="332"/>
      <c r="C119" s="333"/>
      <c r="D119" s="333"/>
      <c r="E119" s="333"/>
      <c r="F119" s="333"/>
      <c r="G119" s="333"/>
      <c r="H119" s="333"/>
      <c r="I119" s="333"/>
      <c r="J119" s="333"/>
      <c r="K119" s="333"/>
      <c r="L119" s="333"/>
      <c r="M119" s="333"/>
      <c r="N119" s="333"/>
      <c r="O119" s="333"/>
      <c r="P119" s="333"/>
      <c r="Q119" s="331"/>
      <c r="R119" s="331"/>
      <c r="S119" s="331"/>
      <c r="T119" s="300"/>
      <c r="U119" s="300"/>
      <c r="V119" s="300"/>
      <c r="W119" s="300"/>
      <c r="X119" s="300"/>
      <c r="Y119" s="300"/>
      <c r="Z119" s="300"/>
      <c r="AA119" s="300"/>
      <c r="AB119" s="300"/>
      <c r="AC119" s="273"/>
      <c r="AD119" s="272"/>
      <c r="AE119" s="272"/>
      <c r="AF119" s="272"/>
      <c r="AG119" s="272"/>
      <c r="AH119" s="272"/>
      <c r="AI119" s="272"/>
      <c r="AJ119" s="272"/>
      <c r="AK119" s="272"/>
      <c r="AL119" s="272"/>
      <c r="AM119" s="272"/>
      <c r="AN119" s="272"/>
      <c r="AO119" s="272"/>
      <c r="AP119" s="272"/>
      <c r="AQ119" s="272"/>
      <c r="AR119" s="274"/>
      <c r="AS119" s="274"/>
      <c r="AT119" s="274"/>
      <c r="AU119" s="274"/>
      <c r="AV119" s="274"/>
      <c r="AW119" s="274"/>
      <c r="AX119" s="298"/>
      <c r="AY119" s="298"/>
      <c r="AZ119" s="298"/>
      <c r="BA119" s="274"/>
      <c r="BB119" s="274"/>
      <c r="BC119" s="274"/>
      <c r="BD119" s="13"/>
      <c r="BE119" s="261"/>
      <c r="BF119" s="261"/>
      <c r="BG119" s="261"/>
      <c r="BH119" s="261"/>
      <c r="BI119" s="261"/>
      <c r="BJ119" s="261"/>
      <c r="BK119" s="261"/>
      <c r="BL119" s="261"/>
      <c r="BM119" s="261"/>
      <c r="BN119" s="261"/>
      <c r="BO119" s="261"/>
      <c r="BP119" s="261"/>
      <c r="BQ119" s="29"/>
    </row>
    <row r="120" spans="1:69" ht="7.5" customHeight="1">
      <c r="A120" s="19"/>
      <c r="B120" s="332">
        <v>4</v>
      </c>
      <c r="C120" s="333"/>
      <c r="D120" s="333"/>
      <c r="E120" s="333"/>
      <c r="F120" s="333"/>
      <c r="G120" s="333"/>
      <c r="H120" s="333"/>
      <c r="I120" s="333"/>
      <c r="J120" s="333"/>
      <c r="K120" s="333"/>
      <c r="L120" s="333"/>
      <c r="M120" s="333"/>
      <c r="N120" s="333"/>
      <c r="O120" s="333"/>
      <c r="P120" s="333"/>
      <c r="Q120" s="331"/>
      <c r="R120" s="331"/>
      <c r="S120" s="331"/>
      <c r="T120" s="299">
        <f>IF(INDEX(Таблицы!AA398:AA462,Таблицы!Y441,1)="",0,INDEX(Таблицы!AA398:AA462,Таблицы!Y441,1))</f>
        <v>0</v>
      </c>
      <c r="U120" s="299"/>
      <c r="V120" s="299"/>
      <c r="W120" s="300">
        <f>IF(AK39&lt;30,T120*3,IF(AK39&lt;126,T120*2+T120*(100-AK39)/100,T120*(AK39-100)/100))</f>
        <v>0</v>
      </c>
      <c r="X120" s="300"/>
      <c r="Y120" s="300"/>
      <c r="Z120" s="299">
        <f>IF(INDEX(Таблицы!AB398:AB462,Таблицы!Y441,1)="",0,INDEX(Таблицы!AB398:AB462,Таблицы!Y441,1))*Q120</f>
        <v>0</v>
      </c>
      <c r="AA120" s="299"/>
      <c r="AB120" s="299"/>
      <c r="AC120" s="273">
        <v>12</v>
      </c>
      <c r="AD120" s="272"/>
      <c r="AE120" s="272"/>
      <c r="AF120" s="272"/>
      <c r="AG120" s="272"/>
      <c r="AH120" s="272"/>
      <c r="AI120" s="272"/>
      <c r="AJ120" s="272"/>
      <c r="AK120" s="272"/>
      <c r="AL120" s="272"/>
      <c r="AM120" s="272"/>
      <c r="AN120" s="272"/>
      <c r="AO120" s="272"/>
      <c r="AP120" s="272"/>
      <c r="AQ120" s="272"/>
      <c r="AR120" s="274"/>
      <c r="AS120" s="274"/>
      <c r="AT120" s="274"/>
      <c r="AU120" s="274"/>
      <c r="AV120" s="274"/>
      <c r="AW120" s="274"/>
      <c r="AX120" s="298">
        <f>IF(BL39&lt;30,AU120*3,IF(BL39&lt;126,AU120*2+AU120*(100-BL39)/100,AU120*(BL39-100)/100))</f>
        <v>0</v>
      </c>
      <c r="AY120" s="298"/>
      <c r="AZ120" s="298"/>
      <c r="BA120" s="274"/>
      <c r="BB120" s="274"/>
      <c r="BC120" s="274"/>
      <c r="BD120" s="13"/>
      <c r="BE120" s="261"/>
      <c r="BF120" s="261"/>
      <c r="BG120" s="261"/>
      <c r="BH120" s="261"/>
      <c r="BI120" s="261"/>
      <c r="BJ120" s="261"/>
      <c r="BK120" s="261"/>
      <c r="BL120" s="261"/>
      <c r="BM120" s="261"/>
      <c r="BN120" s="261"/>
      <c r="BO120" s="261"/>
      <c r="BP120" s="261"/>
      <c r="BQ120" s="29"/>
    </row>
    <row r="121" spans="1:69" ht="7.5" customHeight="1">
      <c r="A121" s="19"/>
      <c r="B121" s="332"/>
      <c r="C121" s="333"/>
      <c r="D121" s="333"/>
      <c r="E121" s="333"/>
      <c r="F121" s="333"/>
      <c r="G121" s="333"/>
      <c r="H121" s="333"/>
      <c r="I121" s="333"/>
      <c r="J121" s="333"/>
      <c r="K121" s="333"/>
      <c r="L121" s="333"/>
      <c r="M121" s="333"/>
      <c r="N121" s="333"/>
      <c r="O121" s="333"/>
      <c r="P121" s="333"/>
      <c r="Q121" s="331"/>
      <c r="R121" s="331"/>
      <c r="S121" s="331"/>
      <c r="T121" s="300"/>
      <c r="U121" s="300"/>
      <c r="V121" s="300"/>
      <c r="W121" s="300"/>
      <c r="X121" s="300"/>
      <c r="Y121" s="300"/>
      <c r="Z121" s="300"/>
      <c r="AA121" s="300"/>
      <c r="AB121" s="300"/>
      <c r="AC121" s="273"/>
      <c r="AD121" s="272"/>
      <c r="AE121" s="272"/>
      <c r="AF121" s="272"/>
      <c r="AG121" s="272"/>
      <c r="AH121" s="272"/>
      <c r="AI121" s="272"/>
      <c r="AJ121" s="272"/>
      <c r="AK121" s="272"/>
      <c r="AL121" s="272"/>
      <c r="AM121" s="272"/>
      <c r="AN121" s="272"/>
      <c r="AO121" s="272"/>
      <c r="AP121" s="272"/>
      <c r="AQ121" s="272"/>
      <c r="AR121" s="274"/>
      <c r="AS121" s="274"/>
      <c r="AT121" s="274"/>
      <c r="AU121" s="274"/>
      <c r="AV121" s="274"/>
      <c r="AW121" s="274"/>
      <c r="AX121" s="298"/>
      <c r="AY121" s="298"/>
      <c r="AZ121" s="298"/>
      <c r="BA121" s="274"/>
      <c r="BB121" s="274"/>
      <c r="BC121" s="274"/>
      <c r="BD121" s="13"/>
      <c r="BE121" s="261"/>
      <c r="BF121" s="261"/>
      <c r="BG121" s="261"/>
      <c r="BH121" s="261"/>
      <c r="BI121" s="261"/>
      <c r="BJ121" s="261"/>
      <c r="BK121" s="261"/>
      <c r="BL121" s="261"/>
      <c r="BM121" s="261"/>
      <c r="BN121" s="261"/>
      <c r="BO121" s="261"/>
      <c r="BP121" s="261"/>
      <c r="BQ121" s="29"/>
    </row>
    <row r="122" spans="1:69" ht="7.5" customHeight="1">
      <c r="A122" s="19"/>
      <c r="B122" s="332"/>
      <c r="C122" s="333"/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1"/>
      <c r="R122" s="331"/>
      <c r="S122" s="331"/>
      <c r="T122" s="300"/>
      <c r="U122" s="300"/>
      <c r="V122" s="300"/>
      <c r="W122" s="300"/>
      <c r="X122" s="300"/>
      <c r="Y122" s="300"/>
      <c r="Z122" s="300"/>
      <c r="AA122" s="300"/>
      <c r="AB122" s="300"/>
      <c r="AC122" s="273">
        <v>13</v>
      </c>
      <c r="AD122" s="272"/>
      <c r="AE122" s="272"/>
      <c r="AF122" s="272"/>
      <c r="AG122" s="272"/>
      <c r="AH122" s="272"/>
      <c r="AI122" s="272"/>
      <c r="AJ122" s="272"/>
      <c r="AK122" s="272"/>
      <c r="AL122" s="272"/>
      <c r="AM122" s="272"/>
      <c r="AN122" s="272"/>
      <c r="AO122" s="272"/>
      <c r="AP122" s="272"/>
      <c r="AQ122" s="272"/>
      <c r="AR122" s="274"/>
      <c r="AS122" s="274"/>
      <c r="AT122" s="274"/>
      <c r="AU122" s="274"/>
      <c r="AV122" s="274"/>
      <c r="AW122" s="274"/>
      <c r="AX122" s="298">
        <f>IF(BL39&lt;30,AU122*3,IF(BL39&lt;126,AU122*2+AU122*(100-BL39)/100,AU122*(BL39-100)/100))</f>
        <v>0</v>
      </c>
      <c r="AY122" s="298"/>
      <c r="AZ122" s="298"/>
      <c r="BA122" s="274"/>
      <c r="BB122" s="274"/>
      <c r="BC122" s="274"/>
      <c r="BD122" s="13"/>
      <c r="BE122" s="261"/>
      <c r="BF122" s="261"/>
      <c r="BG122" s="261"/>
      <c r="BH122" s="261"/>
      <c r="BI122" s="261"/>
      <c r="BJ122" s="261"/>
      <c r="BK122" s="261"/>
      <c r="BL122" s="261"/>
      <c r="BM122" s="261"/>
      <c r="BN122" s="261"/>
      <c r="BO122" s="261"/>
      <c r="BP122" s="261"/>
      <c r="BQ122" s="29"/>
    </row>
    <row r="123" spans="1:69" ht="7.5" customHeight="1">
      <c r="A123" s="19"/>
      <c r="B123" s="332">
        <v>5</v>
      </c>
      <c r="C123" s="333"/>
      <c r="D123" s="333"/>
      <c r="E123" s="333"/>
      <c r="F123" s="333"/>
      <c r="G123" s="333"/>
      <c r="H123" s="333"/>
      <c r="I123" s="333"/>
      <c r="J123" s="333"/>
      <c r="K123" s="333"/>
      <c r="L123" s="333"/>
      <c r="M123" s="333"/>
      <c r="N123" s="333"/>
      <c r="O123" s="333"/>
      <c r="P123" s="333"/>
      <c r="Q123" s="331"/>
      <c r="R123" s="331"/>
      <c r="S123" s="331"/>
      <c r="T123" s="299">
        <f>IF(INDEX(Таблицы!AA398:AA462,Таблицы!Y442,1)="",0,INDEX(Таблицы!AA398:AA462,Таблицы!Y442,1))</f>
        <v>0</v>
      </c>
      <c r="U123" s="299"/>
      <c r="V123" s="299"/>
      <c r="W123" s="300">
        <f>IF(AK39&lt;30,T123*3,IF(AK39&lt;126,T123*2+T123*(100-AK39)/100,T123*(AK39-100)/100))</f>
        <v>0</v>
      </c>
      <c r="X123" s="300"/>
      <c r="Y123" s="300"/>
      <c r="Z123" s="299">
        <f>IF(INDEX(Таблицы!AB398:AB462,Таблицы!Y442,1)="",0,INDEX(Таблицы!AB398:AB462,Таблицы!Y442,1))*Q123</f>
        <v>0</v>
      </c>
      <c r="AA123" s="299"/>
      <c r="AB123" s="299"/>
      <c r="AC123" s="273"/>
      <c r="AD123" s="272"/>
      <c r="AE123" s="272"/>
      <c r="AF123" s="272"/>
      <c r="AG123" s="272"/>
      <c r="AH123" s="272"/>
      <c r="AI123" s="272"/>
      <c r="AJ123" s="272"/>
      <c r="AK123" s="272"/>
      <c r="AL123" s="272"/>
      <c r="AM123" s="272"/>
      <c r="AN123" s="272"/>
      <c r="AO123" s="272"/>
      <c r="AP123" s="272"/>
      <c r="AQ123" s="272"/>
      <c r="AR123" s="274"/>
      <c r="AS123" s="274"/>
      <c r="AT123" s="274"/>
      <c r="AU123" s="274"/>
      <c r="AV123" s="274"/>
      <c r="AW123" s="274"/>
      <c r="AX123" s="298"/>
      <c r="AY123" s="298"/>
      <c r="AZ123" s="298"/>
      <c r="BA123" s="274"/>
      <c r="BB123" s="274"/>
      <c r="BC123" s="274"/>
      <c r="BD123" s="13"/>
      <c r="BE123" s="261"/>
      <c r="BF123" s="261"/>
      <c r="BG123" s="261"/>
      <c r="BH123" s="261"/>
      <c r="BI123" s="261"/>
      <c r="BJ123" s="261"/>
      <c r="BK123" s="261"/>
      <c r="BL123" s="261"/>
      <c r="BM123" s="261"/>
      <c r="BN123" s="261"/>
      <c r="BO123" s="261"/>
      <c r="BP123" s="261"/>
      <c r="BQ123" s="29"/>
    </row>
    <row r="124" spans="1:69" ht="7.5" customHeight="1">
      <c r="A124" s="19"/>
      <c r="B124" s="332"/>
      <c r="C124" s="333"/>
      <c r="D124" s="333"/>
      <c r="E124" s="333"/>
      <c r="F124" s="333"/>
      <c r="G124" s="333"/>
      <c r="H124" s="333"/>
      <c r="I124" s="333"/>
      <c r="J124" s="333"/>
      <c r="K124" s="333"/>
      <c r="L124" s="333"/>
      <c r="M124" s="333"/>
      <c r="N124" s="333"/>
      <c r="O124" s="333"/>
      <c r="P124" s="333"/>
      <c r="Q124" s="331"/>
      <c r="R124" s="331"/>
      <c r="S124" s="331"/>
      <c r="T124" s="300"/>
      <c r="U124" s="300"/>
      <c r="V124" s="300"/>
      <c r="W124" s="300"/>
      <c r="X124" s="300"/>
      <c r="Y124" s="300"/>
      <c r="Z124" s="300"/>
      <c r="AA124" s="300"/>
      <c r="AB124" s="300"/>
      <c r="AC124" s="273">
        <v>14</v>
      </c>
      <c r="AD124" s="272"/>
      <c r="AE124" s="272"/>
      <c r="AF124" s="272"/>
      <c r="AG124" s="272"/>
      <c r="AH124" s="272"/>
      <c r="AI124" s="272"/>
      <c r="AJ124" s="272"/>
      <c r="AK124" s="272"/>
      <c r="AL124" s="272"/>
      <c r="AM124" s="272"/>
      <c r="AN124" s="272"/>
      <c r="AO124" s="272"/>
      <c r="AP124" s="272"/>
      <c r="AQ124" s="272"/>
      <c r="AR124" s="274"/>
      <c r="AS124" s="274"/>
      <c r="AT124" s="274"/>
      <c r="AU124" s="274"/>
      <c r="AV124" s="274"/>
      <c r="AW124" s="274"/>
      <c r="AX124" s="298">
        <f>IF(BL39&lt;30,AU124*3,IF(BL39&lt;126,AU124*2+AU124*(100-BL39)/100,AU124*(BL39-100)/100))</f>
        <v>0</v>
      </c>
      <c r="AY124" s="298"/>
      <c r="AZ124" s="298"/>
      <c r="BA124" s="274"/>
      <c r="BB124" s="274"/>
      <c r="BC124" s="274"/>
      <c r="BD124" s="13"/>
      <c r="BE124" s="261"/>
      <c r="BF124" s="261"/>
      <c r="BG124" s="261"/>
      <c r="BH124" s="261"/>
      <c r="BI124" s="261"/>
      <c r="BJ124" s="261"/>
      <c r="BK124" s="261"/>
      <c r="BL124" s="261"/>
      <c r="BM124" s="261"/>
      <c r="BN124" s="261"/>
      <c r="BO124" s="261"/>
      <c r="BP124" s="261"/>
      <c r="BQ124" s="29"/>
    </row>
    <row r="125" spans="1:69" ht="7.5" customHeight="1">
      <c r="A125" s="19"/>
      <c r="B125" s="332"/>
      <c r="C125" s="333"/>
      <c r="D125" s="333"/>
      <c r="E125" s="333"/>
      <c r="F125" s="333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1"/>
      <c r="R125" s="331"/>
      <c r="S125" s="331"/>
      <c r="T125" s="300"/>
      <c r="U125" s="300"/>
      <c r="V125" s="300"/>
      <c r="W125" s="300"/>
      <c r="X125" s="300"/>
      <c r="Y125" s="300"/>
      <c r="Z125" s="300"/>
      <c r="AA125" s="300"/>
      <c r="AB125" s="300"/>
      <c r="AC125" s="273"/>
      <c r="AD125" s="272"/>
      <c r="AE125" s="272"/>
      <c r="AF125" s="272"/>
      <c r="AG125" s="272"/>
      <c r="AH125" s="272"/>
      <c r="AI125" s="272"/>
      <c r="AJ125" s="272"/>
      <c r="AK125" s="272"/>
      <c r="AL125" s="272"/>
      <c r="AM125" s="272"/>
      <c r="AN125" s="272"/>
      <c r="AO125" s="272"/>
      <c r="AP125" s="272"/>
      <c r="AQ125" s="272"/>
      <c r="AR125" s="274"/>
      <c r="AS125" s="274"/>
      <c r="AT125" s="274"/>
      <c r="AU125" s="274"/>
      <c r="AV125" s="274"/>
      <c r="AW125" s="274"/>
      <c r="AX125" s="298"/>
      <c r="AY125" s="298"/>
      <c r="AZ125" s="298"/>
      <c r="BA125" s="274"/>
      <c r="BB125" s="274"/>
      <c r="BC125" s="274"/>
      <c r="BD125" s="13"/>
      <c r="BE125" s="261"/>
      <c r="BF125" s="261"/>
      <c r="BG125" s="261"/>
      <c r="BH125" s="261"/>
      <c r="BI125" s="261"/>
      <c r="BJ125" s="261"/>
      <c r="BK125" s="261"/>
      <c r="BL125" s="261"/>
      <c r="BM125" s="261"/>
      <c r="BN125" s="261"/>
      <c r="BO125" s="261"/>
      <c r="BP125" s="261"/>
      <c r="BQ125" s="29"/>
    </row>
    <row r="126" spans="1:69" ht="7.5" customHeight="1">
      <c r="A126" s="19"/>
      <c r="B126" s="332">
        <v>6</v>
      </c>
      <c r="C126" s="333"/>
      <c r="D126" s="333"/>
      <c r="E126" s="333"/>
      <c r="F126" s="333"/>
      <c r="G126" s="333"/>
      <c r="H126" s="333"/>
      <c r="I126" s="333"/>
      <c r="J126" s="333"/>
      <c r="K126" s="333"/>
      <c r="L126" s="333"/>
      <c r="M126" s="333"/>
      <c r="N126" s="333"/>
      <c r="O126" s="333"/>
      <c r="P126" s="333"/>
      <c r="Q126" s="331"/>
      <c r="R126" s="331"/>
      <c r="S126" s="331"/>
      <c r="T126" s="299">
        <f>IF(INDEX(Таблицы!AA398:AA462,Таблицы!Y443,1)="",0,INDEX(Таблицы!AA398:AA462,Таблицы!Y443,1))</f>
        <v>0</v>
      </c>
      <c r="U126" s="299"/>
      <c r="V126" s="299"/>
      <c r="W126" s="300">
        <f>IF(AK39&lt;30,T126*3,IF(AK39&lt;126,T126*2+T126*(100-AK39)/100,T126*(AK39-100)/100))</f>
        <v>0</v>
      </c>
      <c r="X126" s="300"/>
      <c r="Y126" s="300"/>
      <c r="Z126" s="299">
        <f>IF(INDEX(Таблицы!AB398:AB462,Таблицы!Y443,1)="",0,INDEX(Таблицы!AB398:AB462,Таблицы!Y443,1))*Q126</f>
        <v>0</v>
      </c>
      <c r="AA126" s="299"/>
      <c r="AB126" s="299"/>
      <c r="AC126" s="273">
        <v>15</v>
      </c>
      <c r="AD126" s="272"/>
      <c r="AE126" s="272"/>
      <c r="AF126" s="272"/>
      <c r="AG126" s="272"/>
      <c r="AH126" s="272"/>
      <c r="AI126" s="272"/>
      <c r="AJ126" s="272"/>
      <c r="AK126" s="272"/>
      <c r="AL126" s="272"/>
      <c r="AM126" s="272"/>
      <c r="AN126" s="272"/>
      <c r="AO126" s="272"/>
      <c r="AP126" s="272"/>
      <c r="AQ126" s="272"/>
      <c r="AR126" s="274"/>
      <c r="AS126" s="274"/>
      <c r="AT126" s="274"/>
      <c r="AU126" s="274"/>
      <c r="AV126" s="274"/>
      <c r="AW126" s="274"/>
      <c r="AX126" s="298">
        <f>IF(BL39&lt;30,AU126*3,IF(BL39&lt;126,AU126*2+AU126*(100-BL39)/100,AU126*(BL39-100)/100))</f>
        <v>0</v>
      </c>
      <c r="AY126" s="298"/>
      <c r="AZ126" s="298"/>
      <c r="BA126" s="274"/>
      <c r="BB126" s="274"/>
      <c r="BC126" s="274"/>
      <c r="BD126" s="13"/>
      <c r="BE126" s="261"/>
      <c r="BF126" s="261"/>
      <c r="BG126" s="261"/>
      <c r="BH126" s="261"/>
      <c r="BI126" s="261"/>
      <c r="BJ126" s="261"/>
      <c r="BK126" s="261"/>
      <c r="BL126" s="261"/>
      <c r="BM126" s="261"/>
      <c r="BN126" s="261"/>
      <c r="BO126" s="261"/>
      <c r="BP126" s="261"/>
      <c r="BQ126" s="29"/>
    </row>
    <row r="127" spans="1:69" ht="7.5" customHeight="1">
      <c r="A127" s="19"/>
      <c r="B127" s="332"/>
      <c r="C127" s="333"/>
      <c r="D127" s="333"/>
      <c r="E127" s="333"/>
      <c r="F127" s="333"/>
      <c r="G127" s="333"/>
      <c r="H127" s="333"/>
      <c r="I127" s="333"/>
      <c r="J127" s="333"/>
      <c r="K127" s="333"/>
      <c r="L127" s="333"/>
      <c r="M127" s="333"/>
      <c r="N127" s="333"/>
      <c r="O127" s="333"/>
      <c r="P127" s="333"/>
      <c r="Q127" s="331"/>
      <c r="R127" s="331"/>
      <c r="S127" s="331"/>
      <c r="T127" s="300"/>
      <c r="U127" s="300"/>
      <c r="V127" s="300"/>
      <c r="W127" s="300"/>
      <c r="X127" s="300"/>
      <c r="Y127" s="300"/>
      <c r="Z127" s="300"/>
      <c r="AA127" s="300"/>
      <c r="AB127" s="300"/>
      <c r="AC127" s="273"/>
      <c r="AD127" s="272"/>
      <c r="AE127" s="272"/>
      <c r="AF127" s="272"/>
      <c r="AG127" s="272"/>
      <c r="AH127" s="272"/>
      <c r="AI127" s="272"/>
      <c r="AJ127" s="272"/>
      <c r="AK127" s="272"/>
      <c r="AL127" s="272"/>
      <c r="AM127" s="272"/>
      <c r="AN127" s="272"/>
      <c r="AO127" s="272"/>
      <c r="AP127" s="272"/>
      <c r="AQ127" s="272"/>
      <c r="AR127" s="274"/>
      <c r="AS127" s="274"/>
      <c r="AT127" s="274"/>
      <c r="AU127" s="274"/>
      <c r="AV127" s="274"/>
      <c r="AW127" s="274"/>
      <c r="AX127" s="298"/>
      <c r="AY127" s="298"/>
      <c r="AZ127" s="298"/>
      <c r="BA127" s="274"/>
      <c r="BB127" s="274"/>
      <c r="BC127" s="274"/>
      <c r="BD127" s="13"/>
      <c r="BE127" s="261"/>
      <c r="BF127" s="261"/>
      <c r="BG127" s="261"/>
      <c r="BH127" s="261"/>
      <c r="BI127" s="261"/>
      <c r="BJ127" s="261"/>
      <c r="BK127" s="261"/>
      <c r="BL127" s="261"/>
      <c r="BM127" s="261"/>
      <c r="BN127" s="261"/>
      <c r="BO127" s="261"/>
      <c r="BP127" s="261"/>
      <c r="BQ127" s="29"/>
    </row>
    <row r="128" spans="1:69" ht="7.5" customHeight="1">
      <c r="A128" s="19"/>
      <c r="B128" s="332"/>
      <c r="C128" s="333"/>
      <c r="D128" s="333"/>
      <c r="E128" s="333"/>
      <c r="F128" s="333"/>
      <c r="G128" s="333"/>
      <c r="H128" s="333"/>
      <c r="I128" s="333"/>
      <c r="J128" s="333"/>
      <c r="K128" s="333"/>
      <c r="L128" s="333"/>
      <c r="M128" s="333"/>
      <c r="N128" s="333"/>
      <c r="O128" s="333"/>
      <c r="P128" s="333"/>
      <c r="Q128" s="331"/>
      <c r="R128" s="331"/>
      <c r="S128" s="331"/>
      <c r="T128" s="300"/>
      <c r="U128" s="300"/>
      <c r="V128" s="300"/>
      <c r="W128" s="300"/>
      <c r="X128" s="300"/>
      <c r="Y128" s="300"/>
      <c r="Z128" s="300"/>
      <c r="AA128" s="300"/>
      <c r="AB128" s="300"/>
      <c r="AC128" s="273">
        <v>16</v>
      </c>
      <c r="AD128" s="272"/>
      <c r="AE128" s="272"/>
      <c r="AF128" s="272"/>
      <c r="AG128" s="272"/>
      <c r="AH128" s="272"/>
      <c r="AI128" s="272"/>
      <c r="AJ128" s="272"/>
      <c r="AK128" s="272"/>
      <c r="AL128" s="272"/>
      <c r="AM128" s="272"/>
      <c r="AN128" s="272"/>
      <c r="AO128" s="272"/>
      <c r="AP128" s="272"/>
      <c r="AQ128" s="272"/>
      <c r="AR128" s="274"/>
      <c r="AS128" s="274"/>
      <c r="AT128" s="274"/>
      <c r="AU128" s="274"/>
      <c r="AV128" s="274"/>
      <c r="AW128" s="274"/>
      <c r="AX128" s="298">
        <f>IF(BL39&lt;30,AU128*3,IF(BL39&lt;126,AU128*2+AU128*(100-BL39)/100,AU128*(BL39-100)/100))</f>
        <v>0</v>
      </c>
      <c r="AY128" s="298"/>
      <c r="AZ128" s="298"/>
      <c r="BA128" s="274"/>
      <c r="BB128" s="274"/>
      <c r="BC128" s="274"/>
      <c r="BD128" s="13"/>
      <c r="BE128" s="261"/>
      <c r="BF128" s="261"/>
      <c r="BG128" s="261"/>
      <c r="BH128" s="261"/>
      <c r="BI128" s="261"/>
      <c r="BJ128" s="261"/>
      <c r="BK128" s="261"/>
      <c r="BL128" s="261"/>
      <c r="BM128" s="261"/>
      <c r="BN128" s="261"/>
      <c r="BO128" s="261"/>
      <c r="BP128" s="261"/>
      <c r="BQ128" s="29"/>
    </row>
    <row r="129" spans="1:69" ht="7.5" customHeight="1">
      <c r="A129" s="19"/>
      <c r="B129" s="332">
        <v>7</v>
      </c>
      <c r="C129" s="333"/>
      <c r="D129" s="333"/>
      <c r="E129" s="333"/>
      <c r="F129" s="333"/>
      <c r="G129" s="333"/>
      <c r="H129" s="333"/>
      <c r="I129" s="333"/>
      <c r="J129" s="333"/>
      <c r="K129" s="333"/>
      <c r="L129" s="333"/>
      <c r="M129" s="333"/>
      <c r="N129" s="333"/>
      <c r="O129" s="333"/>
      <c r="P129" s="333"/>
      <c r="Q129" s="331"/>
      <c r="R129" s="331"/>
      <c r="S129" s="331"/>
      <c r="T129" s="299">
        <f>IF(INDEX(Таблицы!AA398:AA462,Таблицы!Y444,1)="",0,INDEX(Таблицы!AA398:AA462,Таблицы!Y444,1))</f>
        <v>0</v>
      </c>
      <c r="U129" s="299"/>
      <c r="V129" s="299"/>
      <c r="W129" s="300">
        <f>IF(AK39&lt;30,T129*3,IF(AK39&lt;126,T129*2+T129*(100-AK39)/100,T129*(AK39-100)/100))</f>
        <v>0</v>
      </c>
      <c r="X129" s="300"/>
      <c r="Y129" s="300"/>
      <c r="Z129" s="299">
        <f>IF(INDEX(Таблицы!AB398:AB462,Таблицы!Y444,1)="",0,INDEX(Таблицы!AB398:AB462,Таблицы!Y444,1))*Q129</f>
        <v>0</v>
      </c>
      <c r="AA129" s="299"/>
      <c r="AB129" s="299"/>
      <c r="AC129" s="273"/>
      <c r="AD129" s="272"/>
      <c r="AE129" s="272"/>
      <c r="AF129" s="272"/>
      <c r="AG129" s="272"/>
      <c r="AH129" s="272"/>
      <c r="AI129" s="272"/>
      <c r="AJ129" s="272"/>
      <c r="AK129" s="272"/>
      <c r="AL129" s="272"/>
      <c r="AM129" s="272"/>
      <c r="AN129" s="272"/>
      <c r="AO129" s="272"/>
      <c r="AP129" s="272"/>
      <c r="AQ129" s="272"/>
      <c r="AR129" s="274"/>
      <c r="AS129" s="274"/>
      <c r="AT129" s="274"/>
      <c r="AU129" s="274"/>
      <c r="AV129" s="274"/>
      <c r="AW129" s="274"/>
      <c r="AX129" s="298"/>
      <c r="AY129" s="298"/>
      <c r="AZ129" s="298"/>
      <c r="BA129" s="274"/>
      <c r="BB129" s="274"/>
      <c r="BC129" s="274"/>
      <c r="BD129" s="13"/>
      <c r="BE129" s="261"/>
      <c r="BF129" s="261"/>
      <c r="BG129" s="261"/>
      <c r="BH129" s="261"/>
      <c r="BI129" s="261"/>
      <c r="BJ129" s="261"/>
      <c r="BK129" s="261"/>
      <c r="BL129" s="261"/>
      <c r="BM129" s="261"/>
      <c r="BN129" s="261"/>
      <c r="BO129" s="261"/>
      <c r="BP129" s="261"/>
      <c r="BQ129" s="29"/>
    </row>
    <row r="130" spans="1:69" ht="7.5" customHeight="1">
      <c r="A130" s="19"/>
      <c r="B130" s="332"/>
      <c r="C130" s="333"/>
      <c r="D130" s="333"/>
      <c r="E130" s="333"/>
      <c r="F130" s="333"/>
      <c r="G130" s="333"/>
      <c r="H130" s="333"/>
      <c r="I130" s="333"/>
      <c r="J130" s="333"/>
      <c r="K130" s="333"/>
      <c r="L130" s="333"/>
      <c r="M130" s="333"/>
      <c r="N130" s="333"/>
      <c r="O130" s="333"/>
      <c r="P130" s="333"/>
      <c r="Q130" s="331"/>
      <c r="R130" s="331"/>
      <c r="S130" s="331"/>
      <c r="T130" s="300"/>
      <c r="U130" s="300"/>
      <c r="V130" s="300"/>
      <c r="W130" s="300"/>
      <c r="X130" s="300"/>
      <c r="Y130" s="300"/>
      <c r="Z130" s="300"/>
      <c r="AA130" s="300"/>
      <c r="AB130" s="300"/>
      <c r="AC130" s="275" t="s">
        <v>230</v>
      </c>
      <c r="AD130" s="275"/>
      <c r="AE130" s="275"/>
      <c r="AF130" s="275"/>
      <c r="AG130" s="275"/>
      <c r="AH130" s="275"/>
      <c r="AI130" s="275"/>
      <c r="AJ130" s="275"/>
      <c r="AK130" s="275"/>
      <c r="AL130" s="275"/>
      <c r="AM130" s="275"/>
      <c r="AN130" s="275"/>
      <c r="AO130" s="275"/>
      <c r="AP130" s="275"/>
      <c r="AQ130" s="275"/>
      <c r="AR130" s="275"/>
      <c r="AS130" s="275"/>
      <c r="AT130" s="276"/>
      <c r="AU130" s="279">
        <f>SUM(T111:V131)+SUM(AU111:AW129)</f>
        <v>0</v>
      </c>
      <c r="AV130" s="279"/>
      <c r="AW130" s="279"/>
      <c r="AX130" s="279">
        <f>SUM(W111:Y131)+SUM(AX111:AZ129)</f>
        <v>0</v>
      </c>
      <c r="AY130" s="279"/>
      <c r="AZ130" s="279"/>
      <c r="BA130" s="279">
        <f>SUM(Z111:AB131)+SUM(BA111:BC129)</f>
        <v>0</v>
      </c>
      <c r="BB130" s="279"/>
      <c r="BC130" s="279"/>
      <c r="BD130" s="13"/>
      <c r="BE130" s="261"/>
      <c r="BF130" s="261"/>
      <c r="BG130" s="261"/>
      <c r="BH130" s="261"/>
      <c r="BI130" s="261"/>
      <c r="BJ130" s="261"/>
      <c r="BK130" s="261"/>
      <c r="BL130" s="261"/>
      <c r="BM130" s="261"/>
      <c r="BN130" s="261"/>
      <c r="BO130" s="261"/>
      <c r="BP130" s="261"/>
      <c r="BQ130" s="29"/>
    </row>
    <row r="131" spans="1:69" ht="7.5" customHeight="1">
      <c r="A131" s="19"/>
      <c r="B131" s="332"/>
      <c r="C131" s="333"/>
      <c r="D131" s="333"/>
      <c r="E131" s="333"/>
      <c r="F131" s="333"/>
      <c r="G131" s="333"/>
      <c r="H131" s="333"/>
      <c r="I131" s="333"/>
      <c r="J131" s="333"/>
      <c r="K131" s="333"/>
      <c r="L131" s="333"/>
      <c r="M131" s="333"/>
      <c r="N131" s="333"/>
      <c r="O131" s="333"/>
      <c r="P131" s="333"/>
      <c r="Q131" s="331"/>
      <c r="R131" s="331"/>
      <c r="S131" s="331"/>
      <c r="T131" s="300"/>
      <c r="U131" s="300"/>
      <c r="V131" s="300"/>
      <c r="W131" s="300"/>
      <c r="X131" s="300"/>
      <c r="Y131" s="300"/>
      <c r="Z131" s="300"/>
      <c r="AA131" s="300"/>
      <c r="AB131" s="300"/>
      <c r="AC131" s="277"/>
      <c r="AD131" s="277"/>
      <c r="AE131" s="277"/>
      <c r="AF131" s="277"/>
      <c r="AG131" s="277"/>
      <c r="AH131" s="277"/>
      <c r="AI131" s="277"/>
      <c r="AJ131" s="277"/>
      <c r="AK131" s="277"/>
      <c r="AL131" s="277"/>
      <c r="AM131" s="277"/>
      <c r="AN131" s="277"/>
      <c r="AO131" s="277"/>
      <c r="AP131" s="277"/>
      <c r="AQ131" s="277"/>
      <c r="AR131" s="277"/>
      <c r="AS131" s="277"/>
      <c r="AT131" s="278"/>
      <c r="AU131" s="279"/>
      <c r="AV131" s="279"/>
      <c r="AW131" s="279"/>
      <c r="AX131" s="279"/>
      <c r="AY131" s="279"/>
      <c r="AZ131" s="279"/>
      <c r="BA131" s="279"/>
      <c r="BB131" s="279"/>
      <c r="BC131" s="279"/>
      <c r="BD131" s="13"/>
      <c r="BE131" s="261"/>
      <c r="BF131" s="261"/>
      <c r="BG131" s="261"/>
      <c r="BH131" s="261"/>
      <c r="BI131" s="261"/>
      <c r="BJ131" s="261"/>
      <c r="BK131" s="261"/>
      <c r="BL131" s="261"/>
      <c r="BM131" s="261"/>
      <c r="BN131" s="261"/>
      <c r="BO131" s="261"/>
      <c r="BP131" s="261"/>
      <c r="BQ131" s="29"/>
    </row>
    <row r="132" spans="1:69" ht="7.5" customHeight="1" thickBot="1">
      <c r="A132" s="32"/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0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3"/>
    </row>
  </sheetData>
  <sheetProtection password="CF7A" sheet="1" objects="1" scenarios="1"/>
  <mergeCells count="760">
    <mergeCell ref="BE110:BN111"/>
    <mergeCell ref="BO110:BP111"/>
    <mergeCell ref="BE106:BN107"/>
    <mergeCell ref="BO106:BP107"/>
    <mergeCell ref="BE108:BN109"/>
    <mergeCell ref="BO108:BP109"/>
    <mergeCell ref="BE102:BN103"/>
    <mergeCell ref="BO102:BP103"/>
    <mergeCell ref="BE104:BN105"/>
    <mergeCell ref="BO104:BP105"/>
    <mergeCell ref="V72:Y73"/>
    <mergeCell ref="Z72:Z73"/>
    <mergeCell ref="AD70:BC71"/>
    <mergeCell ref="B70:AA71"/>
    <mergeCell ref="AV72:AW74"/>
    <mergeCell ref="B72:E74"/>
    <mergeCell ref="T72:U74"/>
    <mergeCell ref="F72:Q74"/>
    <mergeCell ref="AD72:AG74"/>
    <mergeCell ref="AT72:AU74"/>
    <mergeCell ref="AA2:AE3"/>
    <mergeCell ref="AF2:AR3"/>
    <mergeCell ref="AH47:AR49"/>
    <mergeCell ref="AO77:AU78"/>
    <mergeCell ref="AD75:AD76"/>
    <mergeCell ref="AE75:AG76"/>
    <mergeCell ref="AH75:AI76"/>
    <mergeCell ref="AJ75:AQ76"/>
    <mergeCell ref="AR75:AS76"/>
    <mergeCell ref="AT75:AW76"/>
    <mergeCell ref="BO93:BO94"/>
    <mergeCell ref="BP93:BP94"/>
    <mergeCell ref="R72:S74"/>
    <mergeCell ref="AX72:BA73"/>
    <mergeCell ref="BB72:BB73"/>
    <mergeCell ref="BM85:BN86"/>
    <mergeCell ref="BO85:BO86"/>
    <mergeCell ref="BP85:BP86"/>
    <mergeCell ref="BM89:BN90"/>
    <mergeCell ref="BO89:BO90"/>
    <mergeCell ref="BH89:BH90"/>
    <mergeCell ref="BI89:BJ90"/>
    <mergeCell ref="BK89:BL90"/>
    <mergeCell ref="BK87:BK88"/>
    <mergeCell ref="BH87:BH88"/>
    <mergeCell ref="BL87:BM88"/>
    <mergeCell ref="AV79:AW81"/>
    <mergeCell ref="AF82:AJ83"/>
    <mergeCell ref="AK82:AM83"/>
    <mergeCell ref="AN82:AW83"/>
    <mergeCell ref="AD79:AF81"/>
    <mergeCell ref="AG79:AO81"/>
    <mergeCell ref="AT79:AU81"/>
    <mergeCell ref="AP79:AQ81"/>
    <mergeCell ref="AR79:AS81"/>
    <mergeCell ref="AD82:AE83"/>
    <mergeCell ref="BI75:BJ76"/>
    <mergeCell ref="BK75:BL76"/>
    <mergeCell ref="BM75:BN76"/>
    <mergeCell ref="BP89:BP90"/>
    <mergeCell ref="BO87:BP88"/>
    <mergeCell ref="BN87:BN88"/>
    <mergeCell ref="BI87:BJ88"/>
    <mergeCell ref="BL83:BM84"/>
    <mergeCell ref="BL81:BP82"/>
    <mergeCell ref="BO75:BP76"/>
    <mergeCell ref="BB60:BO61"/>
    <mergeCell ref="BB62:BO63"/>
    <mergeCell ref="BB64:BO65"/>
    <mergeCell ref="BB66:BO67"/>
    <mergeCell ref="BB47:BO49"/>
    <mergeCell ref="BB50:BO51"/>
    <mergeCell ref="BB52:BO53"/>
    <mergeCell ref="BB54:BO55"/>
    <mergeCell ref="BE128:BP129"/>
    <mergeCell ref="BE130:BP131"/>
    <mergeCell ref="BE120:BP121"/>
    <mergeCell ref="BE122:BP123"/>
    <mergeCell ref="BE124:BP125"/>
    <mergeCell ref="BE126:BP127"/>
    <mergeCell ref="BE114:BP115"/>
    <mergeCell ref="BE116:BP117"/>
    <mergeCell ref="AC128:AC129"/>
    <mergeCell ref="AD128:AQ129"/>
    <mergeCell ref="AR128:AT129"/>
    <mergeCell ref="BA126:BC127"/>
    <mergeCell ref="BA120:BC121"/>
    <mergeCell ref="AX122:AZ123"/>
    <mergeCell ref="AU128:AW129"/>
    <mergeCell ref="BA122:BC123"/>
    <mergeCell ref="AC130:AT131"/>
    <mergeCell ref="AU130:AW131"/>
    <mergeCell ref="AX130:AZ131"/>
    <mergeCell ref="BA130:BC131"/>
    <mergeCell ref="BI70:BP72"/>
    <mergeCell ref="BE73:BF74"/>
    <mergeCell ref="BG73:BH74"/>
    <mergeCell ref="BI73:BJ74"/>
    <mergeCell ref="BK73:BL74"/>
    <mergeCell ref="BM73:BN74"/>
    <mergeCell ref="BO73:BP74"/>
    <mergeCell ref="BE70:BH72"/>
    <mergeCell ref="BO91:BP92"/>
    <mergeCell ref="BH93:BH94"/>
    <mergeCell ref="BI93:BJ94"/>
    <mergeCell ref="BK93:BL94"/>
    <mergeCell ref="BL91:BM92"/>
    <mergeCell ref="BN91:BN92"/>
    <mergeCell ref="BM93:BN94"/>
    <mergeCell ref="BK91:BK92"/>
    <mergeCell ref="BI91:BJ92"/>
    <mergeCell ref="BH91:BH92"/>
    <mergeCell ref="BE75:BF76"/>
    <mergeCell ref="BG75:BH76"/>
    <mergeCell ref="BE118:BP119"/>
    <mergeCell ref="BN79:BN80"/>
    <mergeCell ref="BO79:BP80"/>
    <mergeCell ref="BH81:BH82"/>
    <mergeCell ref="BI81:BJ82"/>
    <mergeCell ref="BK81:BK82"/>
    <mergeCell ref="BE79:BG82"/>
    <mergeCell ref="BN83:BN84"/>
    <mergeCell ref="AU124:AW125"/>
    <mergeCell ref="AX124:AZ125"/>
    <mergeCell ref="BA124:BC125"/>
    <mergeCell ref="AX128:AZ129"/>
    <mergeCell ref="BA128:BC129"/>
    <mergeCell ref="AX126:AZ127"/>
    <mergeCell ref="AC126:AC127"/>
    <mergeCell ref="AD126:AQ127"/>
    <mergeCell ref="AR126:AT127"/>
    <mergeCell ref="AU126:AW127"/>
    <mergeCell ref="AR120:AT121"/>
    <mergeCell ref="AC120:AC121"/>
    <mergeCell ref="AC124:AC125"/>
    <mergeCell ref="AD124:AQ125"/>
    <mergeCell ref="AR124:AT125"/>
    <mergeCell ref="AC122:AC123"/>
    <mergeCell ref="AD122:AQ123"/>
    <mergeCell ref="AR122:AT123"/>
    <mergeCell ref="AU122:AW123"/>
    <mergeCell ref="AU118:AW119"/>
    <mergeCell ref="AX116:AZ117"/>
    <mergeCell ref="AX114:AZ115"/>
    <mergeCell ref="AU120:AW121"/>
    <mergeCell ref="AX120:AZ121"/>
    <mergeCell ref="AU116:AW117"/>
    <mergeCell ref="AX118:AZ119"/>
    <mergeCell ref="AU114:AW115"/>
    <mergeCell ref="BK79:BK80"/>
    <mergeCell ref="Z123:AB125"/>
    <mergeCell ref="AU111:AW113"/>
    <mergeCell ref="AX111:AZ113"/>
    <mergeCell ref="AR116:AT117"/>
    <mergeCell ref="Z111:AB113"/>
    <mergeCell ref="AC114:AC115"/>
    <mergeCell ref="AD114:AQ115"/>
    <mergeCell ref="AX109:AZ110"/>
    <mergeCell ref="BA118:BC119"/>
    <mergeCell ref="W129:Y131"/>
    <mergeCell ref="BK77:BL78"/>
    <mergeCell ref="BE83:BG86"/>
    <mergeCell ref="BE77:BF78"/>
    <mergeCell ref="BH83:BH84"/>
    <mergeCell ref="BI83:BJ84"/>
    <mergeCell ref="BK83:BK84"/>
    <mergeCell ref="BL79:BM80"/>
    <mergeCell ref="BA114:BC115"/>
    <mergeCell ref="BI79:BJ80"/>
    <mergeCell ref="Q126:S128"/>
    <mergeCell ref="T126:V128"/>
    <mergeCell ref="AD111:AQ113"/>
    <mergeCell ref="BA116:BC117"/>
    <mergeCell ref="T111:V113"/>
    <mergeCell ref="Z114:AB116"/>
    <mergeCell ref="BA111:BC113"/>
    <mergeCell ref="AC116:AC117"/>
    <mergeCell ref="AD116:AQ117"/>
    <mergeCell ref="AC118:AC119"/>
    <mergeCell ref="AR111:AT113"/>
    <mergeCell ref="AS103:AT104"/>
    <mergeCell ref="AM103:AR104"/>
    <mergeCell ref="AM101:AR102"/>
    <mergeCell ref="Q129:S131"/>
    <mergeCell ref="T129:V131"/>
    <mergeCell ref="B129:B131"/>
    <mergeCell ref="C129:P131"/>
    <mergeCell ref="B126:B128"/>
    <mergeCell ref="C126:P128"/>
    <mergeCell ref="BG77:BJ78"/>
    <mergeCell ref="B120:B122"/>
    <mergeCell ref="C120:P122"/>
    <mergeCell ref="B123:B125"/>
    <mergeCell ref="C123:P125"/>
    <mergeCell ref="AD120:AQ121"/>
    <mergeCell ref="AD109:AQ110"/>
    <mergeCell ref="AC111:AC113"/>
    <mergeCell ref="BO77:BP78"/>
    <mergeCell ref="BM77:BN78"/>
    <mergeCell ref="BE100:BP101"/>
    <mergeCell ref="BE95:BP96"/>
    <mergeCell ref="BE97:BP98"/>
    <mergeCell ref="BO83:BP84"/>
    <mergeCell ref="BH85:BH86"/>
    <mergeCell ref="BI85:BJ86"/>
    <mergeCell ref="BK85:BL86"/>
    <mergeCell ref="BH79:BH80"/>
    <mergeCell ref="K93:M94"/>
    <mergeCell ref="Q117:S119"/>
    <mergeCell ref="C109:P110"/>
    <mergeCell ref="B109:B110"/>
    <mergeCell ref="B117:B119"/>
    <mergeCell ref="C117:P119"/>
    <mergeCell ref="B97:I98"/>
    <mergeCell ref="B95:I96"/>
    <mergeCell ref="B93:I94"/>
    <mergeCell ref="K99:P100"/>
    <mergeCell ref="AD118:AQ119"/>
    <mergeCell ref="AR118:AT119"/>
    <mergeCell ref="AR114:AT115"/>
    <mergeCell ref="T117:V119"/>
    <mergeCell ref="W114:Y116"/>
    <mergeCell ref="T114:V116"/>
    <mergeCell ref="W117:Y119"/>
    <mergeCell ref="Z117:AB119"/>
    <mergeCell ref="AV77:AW78"/>
    <mergeCell ref="AC109:AC110"/>
    <mergeCell ref="AU103:AW104"/>
    <mergeCell ref="B107:BC108"/>
    <mergeCell ref="B101:I102"/>
    <mergeCell ref="AJ103:AK104"/>
    <mergeCell ref="K101:P102"/>
    <mergeCell ref="AA101:AB102"/>
    <mergeCell ref="X103:Z104"/>
    <mergeCell ref="B90:I92"/>
    <mergeCell ref="B99:I100"/>
    <mergeCell ref="S99:U100"/>
    <mergeCell ref="AU99:AW100"/>
    <mergeCell ref="AZ99:BA100"/>
    <mergeCell ref="AF95:AG104"/>
    <mergeCell ref="AZ103:BA104"/>
    <mergeCell ref="AU95:AW96"/>
    <mergeCell ref="V95:W96"/>
    <mergeCell ref="AH95:AI96"/>
    <mergeCell ref="AS95:AT96"/>
    <mergeCell ref="AM99:AR100"/>
    <mergeCell ref="AZ95:BA96"/>
    <mergeCell ref="S97:U98"/>
    <mergeCell ref="AZ97:BA98"/>
    <mergeCell ref="S95:U96"/>
    <mergeCell ref="AA95:AB96"/>
    <mergeCell ref="AH97:AI98"/>
    <mergeCell ref="AM95:AR96"/>
    <mergeCell ref="K95:P96"/>
    <mergeCell ref="AU97:AW98"/>
    <mergeCell ref="AM97:AR98"/>
    <mergeCell ref="AS97:AT98"/>
    <mergeCell ref="V97:W98"/>
    <mergeCell ref="X97:Z98"/>
    <mergeCell ref="AJ95:AK96"/>
    <mergeCell ref="AJ97:AK98"/>
    <mergeCell ref="AJ101:AK102"/>
    <mergeCell ref="AH103:AI104"/>
    <mergeCell ref="X95:Z96"/>
    <mergeCell ref="AC95:AE96"/>
    <mergeCell ref="BB82:BC83"/>
    <mergeCell ref="AZ82:BA83"/>
    <mergeCell ref="AX95:AY104"/>
    <mergeCell ref="AA103:AB104"/>
    <mergeCell ref="AC99:AE100"/>
    <mergeCell ref="AH99:AI100"/>
    <mergeCell ref="AH101:AI102"/>
    <mergeCell ref="AS101:AT102"/>
    <mergeCell ref="AP90:BC92"/>
    <mergeCell ref="BB84:BC85"/>
    <mergeCell ref="AZ76:BA77"/>
    <mergeCell ref="AZ78:BA79"/>
    <mergeCell ref="BB78:BC79"/>
    <mergeCell ref="AZ80:BA81"/>
    <mergeCell ref="BB76:BC77"/>
    <mergeCell ref="BB80:BC81"/>
    <mergeCell ref="N93:P94"/>
    <mergeCell ref="AC101:AE102"/>
    <mergeCell ref="AC97:AE98"/>
    <mergeCell ref="Q95:R96"/>
    <mergeCell ref="Q97:R98"/>
    <mergeCell ref="V101:W102"/>
    <mergeCell ref="AA93:AE94"/>
    <mergeCell ref="K97:P98"/>
    <mergeCell ref="AA97:AB98"/>
    <mergeCell ref="V93:Z94"/>
    <mergeCell ref="B88:BC89"/>
    <mergeCell ref="AM90:AO92"/>
    <mergeCell ref="AZ84:BA85"/>
    <mergeCell ref="AX76:AY85"/>
    <mergeCell ref="Z82:AA83"/>
    <mergeCell ref="AL77:AL78"/>
    <mergeCell ref="AM77:AN78"/>
    <mergeCell ref="B84:I85"/>
    <mergeCell ref="AD84:AK85"/>
    <mergeCell ref="T84:U85"/>
    <mergeCell ref="AS93:AW94"/>
    <mergeCell ref="AS84:AU85"/>
    <mergeCell ref="AC103:AE104"/>
    <mergeCell ref="AP93:AR94"/>
    <mergeCell ref="AN84:AP85"/>
    <mergeCell ref="AM93:AO94"/>
    <mergeCell ref="AL84:AM85"/>
    <mergeCell ref="AQ84:AR85"/>
    <mergeCell ref="AV84:AW85"/>
    <mergeCell ref="Q90:AK92"/>
    <mergeCell ref="BE91:BG94"/>
    <mergeCell ref="AU101:AW102"/>
    <mergeCell ref="L82:U83"/>
    <mergeCell ref="Q101:R102"/>
    <mergeCell ref="S101:U102"/>
    <mergeCell ref="AA99:AB100"/>
    <mergeCell ref="X84:Y85"/>
    <mergeCell ref="Z84:AA85"/>
    <mergeCell ref="AS99:AT100"/>
    <mergeCell ref="AJ99:AK100"/>
    <mergeCell ref="BA109:BC110"/>
    <mergeCell ref="BE87:BG90"/>
    <mergeCell ref="BB95:BC96"/>
    <mergeCell ref="AR109:AT110"/>
    <mergeCell ref="AU109:AW110"/>
    <mergeCell ref="BB97:BC98"/>
    <mergeCell ref="BB103:BC104"/>
    <mergeCell ref="BB99:BC100"/>
    <mergeCell ref="AZ101:BA102"/>
    <mergeCell ref="BB101:BC102"/>
    <mergeCell ref="Z109:AB110"/>
    <mergeCell ref="X99:Z100"/>
    <mergeCell ref="Q99:R100"/>
    <mergeCell ref="W109:Y110"/>
    <mergeCell ref="S103:U104"/>
    <mergeCell ref="T109:V110"/>
    <mergeCell ref="Q109:S110"/>
    <mergeCell ref="V99:W100"/>
    <mergeCell ref="X101:Z102"/>
    <mergeCell ref="V103:W104"/>
    <mergeCell ref="V76:W85"/>
    <mergeCell ref="AJ77:AK78"/>
    <mergeCell ref="AD77:AE78"/>
    <mergeCell ref="AF77:AF78"/>
    <mergeCell ref="AG77:AH78"/>
    <mergeCell ref="AI77:AI78"/>
    <mergeCell ref="Z80:AA81"/>
    <mergeCell ref="B82:C83"/>
    <mergeCell ref="T79:U81"/>
    <mergeCell ref="R79:S81"/>
    <mergeCell ref="O84:P85"/>
    <mergeCell ref="J84:K85"/>
    <mergeCell ref="L84:N85"/>
    <mergeCell ref="N79:O81"/>
    <mergeCell ref="D82:H83"/>
    <mergeCell ref="I82:K83"/>
    <mergeCell ref="P79:Q81"/>
    <mergeCell ref="AH72:AS74"/>
    <mergeCell ref="B79:D81"/>
    <mergeCell ref="E79:M81"/>
    <mergeCell ref="X80:Y81"/>
    <mergeCell ref="G77:G78"/>
    <mergeCell ref="H77:I78"/>
    <mergeCell ref="J77:J78"/>
    <mergeCell ref="K77:L78"/>
    <mergeCell ref="Z76:AA77"/>
    <mergeCell ref="B75:B76"/>
    <mergeCell ref="C75:E76"/>
    <mergeCell ref="T77:U78"/>
    <mergeCell ref="Z78:AA79"/>
    <mergeCell ref="X76:Y77"/>
    <mergeCell ref="X78:Y79"/>
    <mergeCell ref="B77:C78"/>
    <mergeCell ref="D77:D78"/>
    <mergeCell ref="E77:F78"/>
    <mergeCell ref="F75:G76"/>
    <mergeCell ref="H75:O76"/>
    <mergeCell ref="P75:Q76"/>
    <mergeCell ref="R75:U76"/>
    <mergeCell ref="AT47:BA49"/>
    <mergeCell ref="AT50:BA51"/>
    <mergeCell ref="AH62:AR67"/>
    <mergeCell ref="AH59:AR61"/>
    <mergeCell ref="AH53:AR58"/>
    <mergeCell ref="AT64:BA65"/>
    <mergeCell ref="AT66:BA67"/>
    <mergeCell ref="AT54:BA55"/>
    <mergeCell ref="V52:X53"/>
    <mergeCell ref="B62:N63"/>
    <mergeCell ref="B60:N61"/>
    <mergeCell ref="AT5:AU6"/>
    <mergeCell ref="AT62:BA63"/>
    <mergeCell ref="AT52:BA53"/>
    <mergeCell ref="AT58:BA59"/>
    <mergeCell ref="AT60:BA61"/>
    <mergeCell ref="AT33:AU34"/>
    <mergeCell ref="AX13:AY14"/>
    <mergeCell ref="BJ11:BK12"/>
    <mergeCell ref="BJ9:BK10"/>
    <mergeCell ref="BJ7:BK8"/>
    <mergeCell ref="BF13:BG14"/>
    <mergeCell ref="BF11:BG12"/>
    <mergeCell ref="BF9:BG10"/>
    <mergeCell ref="BF7:BG8"/>
    <mergeCell ref="BN7:BO8"/>
    <mergeCell ref="BN13:BO14"/>
    <mergeCell ref="BN11:BO12"/>
    <mergeCell ref="BN9:BO10"/>
    <mergeCell ref="BB56:BO57"/>
    <mergeCell ref="BB58:BO59"/>
    <mergeCell ref="AH50:AR52"/>
    <mergeCell ref="AT3:AU4"/>
    <mergeCell ref="AT56:BA57"/>
    <mergeCell ref="AC5:AJ6"/>
    <mergeCell ref="AT39:AU40"/>
    <mergeCell ref="AT41:AU42"/>
    <mergeCell ref="AT43:AU44"/>
    <mergeCell ref="AT31:AU32"/>
    <mergeCell ref="BN21:BO22"/>
    <mergeCell ref="BN19:BO20"/>
    <mergeCell ref="BN17:BO18"/>
    <mergeCell ref="AW3:AY4"/>
    <mergeCell ref="BA3:BG4"/>
    <mergeCell ref="BI3:BO4"/>
    <mergeCell ref="AW5:AY6"/>
    <mergeCell ref="BA5:BG6"/>
    <mergeCell ref="BI5:BO6"/>
    <mergeCell ref="AX11:AY12"/>
    <mergeCell ref="BN29:BO30"/>
    <mergeCell ref="BN27:BO28"/>
    <mergeCell ref="BN25:BO26"/>
    <mergeCell ref="BN23:BO24"/>
    <mergeCell ref="BN35:BO36"/>
    <mergeCell ref="BN33:BO34"/>
    <mergeCell ref="BN31:BO32"/>
    <mergeCell ref="BJ19:BK20"/>
    <mergeCell ref="BM7:BM44"/>
    <mergeCell ref="BN43:BO44"/>
    <mergeCell ref="BN41:BO42"/>
    <mergeCell ref="BN39:BO40"/>
    <mergeCell ref="BN37:BO38"/>
    <mergeCell ref="BN15:BO16"/>
    <mergeCell ref="BJ17:BK18"/>
    <mergeCell ref="BJ15:BK16"/>
    <mergeCell ref="BJ13:BK14"/>
    <mergeCell ref="BJ35:BK36"/>
    <mergeCell ref="BJ33:BK34"/>
    <mergeCell ref="BJ31:BK32"/>
    <mergeCell ref="BJ21:BK22"/>
    <mergeCell ref="BJ29:BK30"/>
    <mergeCell ref="BJ27:BK28"/>
    <mergeCell ref="BJ25:BK26"/>
    <mergeCell ref="BJ43:BK44"/>
    <mergeCell ref="BJ41:BK42"/>
    <mergeCell ref="BJ39:BK40"/>
    <mergeCell ref="BJ37:BK38"/>
    <mergeCell ref="BF21:BG22"/>
    <mergeCell ref="BF19:BG20"/>
    <mergeCell ref="BF17:BG18"/>
    <mergeCell ref="BF15:BG16"/>
    <mergeCell ref="BB29:BC30"/>
    <mergeCell ref="BF43:BG44"/>
    <mergeCell ref="BF41:BG42"/>
    <mergeCell ref="BF39:BG40"/>
    <mergeCell ref="BF37:BG38"/>
    <mergeCell ref="BF35:BG36"/>
    <mergeCell ref="BF33:BG34"/>
    <mergeCell ref="BF31:BG32"/>
    <mergeCell ref="BF29:BG30"/>
    <mergeCell ref="BB37:BC38"/>
    <mergeCell ref="BB11:BC12"/>
    <mergeCell ref="BB9:BC10"/>
    <mergeCell ref="BB7:BC8"/>
    <mergeCell ref="BB21:BC22"/>
    <mergeCell ref="BB19:BC20"/>
    <mergeCell ref="BB17:BC18"/>
    <mergeCell ref="BB15:BC16"/>
    <mergeCell ref="BB13:BC14"/>
    <mergeCell ref="BJ23:BK24"/>
    <mergeCell ref="BF27:BG28"/>
    <mergeCell ref="BF23:BG24"/>
    <mergeCell ref="BF25:BG26"/>
    <mergeCell ref="BE7:BE44"/>
    <mergeCell ref="BI7:BI44"/>
    <mergeCell ref="BB27:BC28"/>
    <mergeCell ref="AX29:AY30"/>
    <mergeCell ref="AX27:AY28"/>
    <mergeCell ref="AX43:AY44"/>
    <mergeCell ref="AX41:AY42"/>
    <mergeCell ref="AX39:AY40"/>
    <mergeCell ref="AX37:AY38"/>
    <mergeCell ref="BB43:BC44"/>
    <mergeCell ref="BB41:BC42"/>
    <mergeCell ref="BB39:BC40"/>
    <mergeCell ref="AX15:AY16"/>
    <mergeCell ref="AX35:AY36"/>
    <mergeCell ref="AX33:AY34"/>
    <mergeCell ref="AX31:AY32"/>
    <mergeCell ref="BB35:BC36"/>
    <mergeCell ref="BB33:BC34"/>
    <mergeCell ref="BB31:BC32"/>
    <mergeCell ref="BB23:BC24"/>
    <mergeCell ref="AT35:AU36"/>
    <mergeCell ref="BB25:BC26"/>
    <mergeCell ref="BA7:BA44"/>
    <mergeCell ref="AX9:AY10"/>
    <mergeCell ref="AX7:AY8"/>
    <mergeCell ref="AX25:AY26"/>
    <mergeCell ref="AX23:AY24"/>
    <mergeCell ref="AX21:AY22"/>
    <mergeCell ref="AX19:AY20"/>
    <mergeCell ref="AX17:AY18"/>
    <mergeCell ref="AW7:AW44"/>
    <mergeCell ref="AT15:AU16"/>
    <mergeCell ref="AT17:AU18"/>
    <mergeCell ref="AT19:AU20"/>
    <mergeCell ref="AT21:AU22"/>
    <mergeCell ref="AT37:AU38"/>
    <mergeCell ref="AT23:AU24"/>
    <mergeCell ref="AT25:AU26"/>
    <mergeCell ref="AT27:AU28"/>
    <mergeCell ref="AT29:AU30"/>
    <mergeCell ref="AK13:AL14"/>
    <mergeCell ref="AK11:AL12"/>
    <mergeCell ref="AT13:AU14"/>
    <mergeCell ref="AP15:AQ16"/>
    <mergeCell ref="AP13:AQ14"/>
    <mergeCell ref="AK9:AL10"/>
    <mergeCell ref="AT7:AU8"/>
    <mergeCell ref="AT9:AU10"/>
    <mergeCell ref="AT11:AU12"/>
    <mergeCell ref="AP11:AQ12"/>
    <mergeCell ref="AP9:AQ10"/>
    <mergeCell ref="AK23:AL24"/>
    <mergeCell ref="AK21:AL22"/>
    <mergeCell ref="AK19:AL20"/>
    <mergeCell ref="AK17:AL18"/>
    <mergeCell ref="AK31:AL32"/>
    <mergeCell ref="AK29:AL30"/>
    <mergeCell ref="AK27:AL28"/>
    <mergeCell ref="AK25:AL26"/>
    <mergeCell ref="AP23:AQ24"/>
    <mergeCell ref="AP21:AQ22"/>
    <mergeCell ref="AP19:AQ20"/>
    <mergeCell ref="AP17:AQ18"/>
    <mergeCell ref="N34:P35"/>
    <mergeCell ref="N38:P39"/>
    <mergeCell ref="N36:P37"/>
    <mergeCell ref="D24:F25"/>
    <mergeCell ref="D38:F39"/>
    <mergeCell ref="D36:F37"/>
    <mergeCell ref="D34:F35"/>
    <mergeCell ref="D32:F33"/>
    <mergeCell ref="D30:F31"/>
    <mergeCell ref="D28:F29"/>
    <mergeCell ref="K36:M37"/>
    <mergeCell ref="H34:J35"/>
    <mergeCell ref="H36:J37"/>
    <mergeCell ref="H24:J25"/>
    <mergeCell ref="H26:J27"/>
    <mergeCell ref="H28:J29"/>
    <mergeCell ref="H30:J31"/>
    <mergeCell ref="R24:X25"/>
    <mergeCell ref="K38:M39"/>
    <mergeCell ref="S42:U43"/>
    <mergeCell ref="O42:Q43"/>
    <mergeCell ref="V42:X43"/>
    <mergeCell ref="B42:N43"/>
    <mergeCell ref="B38:C39"/>
    <mergeCell ref="H32:J33"/>
    <mergeCell ref="D26:F27"/>
    <mergeCell ref="K34:M35"/>
    <mergeCell ref="M4:P5"/>
    <mergeCell ref="U4:X5"/>
    <mergeCell ref="B8:E9"/>
    <mergeCell ref="N8:P9"/>
    <mergeCell ref="E4:H5"/>
    <mergeCell ref="B6:D7"/>
    <mergeCell ref="N6:P7"/>
    <mergeCell ref="E6:M7"/>
    <mergeCell ref="Q4:T5"/>
    <mergeCell ref="B58:N59"/>
    <mergeCell ref="B56:N57"/>
    <mergeCell ref="R26:X27"/>
    <mergeCell ref="R30:X31"/>
    <mergeCell ref="R34:X35"/>
    <mergeCell ref="R38:X39"/>
    <mergeCell ref="R36:X37"/>
    <mergeCell ref="R32:X33"/>
    <mergeCell ref="R28:X29"/>
    <mergeCell ref="V46:X47"/>
    <mergeCell ref="AN39:AO40"/>
    <mergeCell ref="AN37:AO38"/>
    <mergeCell ref="B52:N53"/>
    <mergeCell ref="B50:N51"/>
    <mergeCell ref="S48:U49"/>
    <mergeCell ref="S50:U51"/>
    <mergeCell ref="S44:U45"/>
    <mergeCell ref="B44:N45"/>
    <mergeCell ref="B46:N47"/>
    <mergeCell ref="B48:N49"/>
    <mergeCell ref="AC7:AJ8"/>
    <mergeCell ref="AN35:AO36"/>
    <mergeCell ref="AN33:AO34"/>
    <mergeCell ref="AN31:AO32"/>
    <mergeCell ref="AN29:AO30"/>
    <mergeCell ref="AN27:AO28"/>
    <mergeCell ref="AN25:AO26"/>
    <mergeCell ref="AN23:AO24"/>
    <mergeCell ref="AN21:AO22"/>
    <mergeCell ref="AN19:AO20"/>
    <mergeCell ref="AC15:AJ16"/>
    <mergeCell ref="AC13:AJ14"/>
    <mergeCell ref="AC43:AJ44"/>
    <mergeCell ref="AC41:AJ42"/>
    <mergeCell ref="AC39:AJ40"/>
    <mergeCell ref="AC37:AJ38"/>
    <mergeCell ref="AC35:AJ36"/>
    <mergeCell ref="AC17:AJ18"/>
    <mergeCell ref="AC9:AJ10"/>
    <mergeCell ref="AC11:AJ12"/>
    <mergeCell ref="AC33:AJ34"/>
    <mergeCell ref="AC31:AJ32"/>
    <mergeCell ref="AC29:AJ30"/>
    <mergeCell ref="AC27:AJ28"/>
    <mergeCell ref="AC25:AJ26"/>
    <mergeCell ref="AC23:AJ24"/>
    <mergeCell ref="AC21:AJ22"/>
    <mergeCell ref="AC19:AJ20"/>
    <mergeCell ref="AK5:AL6"/>
    <mergeCell ref="AN7:AO8"/>
    <mergeCell ref="AK7:AL8"/>
    <mergeCell ref="AN17:AO18"/>
    <mergeCell ref="AN15:AO16"/>
    <mergeCell ref="AN13:AO14"/>
    <mergeCell ref="AN11:AO12"/>
    <mergeCell ref="AN9:AO10"/>
    <mergeCell ref="AN5:AO6"/>
    <mergeCell ref="AK15:AL16"/>
    <mergeCell ref="AP33:AQ34"/>
    <mergeCell ref="AP31:AQ32"/>
    <mergeCell ref="AP27:AQ28"/>
    <mergeCell ref="AP29:AQ30"/>
    <mergeCell ref="V50:X51"/>
    <mergeCell ref="V48:X49"/>
    <mergeCell ref="AP5:AQ6"/>
    <mergeCell ref="AP7:AQ8"/>
    <mergeCell ref="AP43:AQ44"/>
    <mergeCell ref="AP41:AQ42"/>
    <mergeCell ref="AP39:AQ40"/>
    <mergeCell ref="AP37:AQ38"/>
    <mergeCell ref="AP35:AQ36"/>
    <mergeCell ref="M20:X21"/>
    <mergeCell ref="S46:U47"/>
    <mergeCell ref="S58:U59"/>
    <mergeCell ref="S56:U57"/>
    <mergeCell ref="S54:U55"/>
    <mergeCell ref="S52:U53"/>
    <mergeCell ref="M14:R15"/>
    <mergeCell ref="S14:X15"/>
    <mergeCell ref="S16:X17"/>
    <mergeCell ref="M16:R17"/>
    <mergeCell ref="B14:F15"/>
    <mergeCell ref="G14:L15"/>
    <mergeCell ref="B16:F17"/>
    <mergeCell ref="G16:L17"/>
    <mergeCell ref="G18:L19"/>
    <mergeCell ref="G20:L21"/>
    <mergeCell ref="B18:F19"/>
    <mergeCell ref="B20:F21"/>
    <mergeCell ref="M18:X19"/>
    <mergeCell ref="B2:H3"/>
    <mergeCell ref="I2:X3"/>
    <mergeCell ref="B10:G11"/>
    <mergeCell ref="H10:X11"/>
    <mergeCell ref="Q6:X7"/>
    <mergeCell ref="F8:M9"/>
    <mergeCell ref="Q8:X9"/>
    <mergeCell ref="B4:D5"/>
    <mergeCell ref="I4:L5"/>
    <mergeCell ref="B28:C29"/>
    <mergeCell ref="B24:C25"/>
    <mergeCell ref="K24:M25"/>
    <mergeCell ref="N24:P25"/>
    <mergeCell ref="N26:P27"/>
    <mergeCell ref="B26:C27"/>
    <mergeCell ref="K26:M27"/>
    <mergeCell ref="K28:M29"/>
    <mergeCell ref="N28:P29"/>
    <mergeCell ref="N30:P31"/>
    <mergeCell ref="B32:C33"/>
    <mergeCell ref="K30:M31"/>
    <mergeCell ref="K32:M33"/>
    <mergeCell ref="N32:P33"/>
    <mergeCell ref="B30:C31"/>
    <mergeCell ref="B34:C35"/>
    <mergeCell ref="B36:C37"/>
    <mergeCell ref="S66:U67"/>
    <mergeCell ref="S62:U63"/>
    <mergeCell ref="S60:U61"/>
    <mergeCell ref="O62:Q63"/>
    <mergeCell ref="O46:Q47"/>
    <mergeCell ref="O48:Q49"/>
    <mergeCell ref="O52:Q53"/>
    <mergeCell ref="O44:Q45"/>
    <mergeCell ref="AN43:AO44"/>
    <mergeCell ref="AN41:AO42"/>
    <mergeCell ref="V66:X67"/>
    <mergeCell ref="V64:X65"/>
    <mergeCell ref="V62:X63"/>
    <mergeCell ref="V60:X61"/>
    <mergeCell ref="V44:X45"/>
    <mergeCell ref="V58:X59"/>
    <mergeCell ref="V56:X57"/>
    <mergeCell ref="V54:X55"/>
    <mergeCell ref="O58:Q59"/>
    <mergeCell ref="B66:N67"/>
    <mergeCell ref="B64:N65"/>
    <mergeCell ref="AP25:AQ26"/>
    <mergeCell ref="AK43:AL44"/>
    <mergeCell ref="AK41:AL42"/>
    <mergeCell ref="AK39:AL40"/>
    <mergeCell ref="AK37:AL38"/>
    <mergeCell ref="AK35:AL36"/>
    <mergeCell ref="AK33:AL34"/>
    <mergeCell ref="H38:J39"/>
    <mergeCell ref="O50:Q51"/>
    <mergeCell ref="O54:Q55"/>
    <mergeCell ref="O56:Q57"/>
    <mergeCell ref="B54:N55"/>
    <mergeCell ref="W111:Y113"/>
    <mergeCell ref="O60:Q61"/>
    <mergeCell ref="O64:Q65"/>
    <mergeCell ref="O66:Q67"/>
    <mergeCell ref="S64:U65"/>
    <mergeCell ref="X82:Y83"/>
    <mergeCell ref="M77:S78"/>
    <mergeCell ref="Q93:U94"/>
    <mergeCell ref="Q84:S85"/>
    <mergeCell ref="K90:P92"/>
    <mergeCell ref="Q103:R104"/>
    <mergeCell ref="B114:B116"/>
    <mergeCell ref="C114:P116"/>
    <mergeCell ref="Q114:S116"/>
    <mergeCell ref="B111:B113"/>
    <mergeCell ref="C111:P113"/>
    <mergeCell ref="Q111:S113"/>
    <mergeCell ref="B103:I104"/>
    <mergeCell ref="K103:P104"/>
    <mergeCell ref="Z129:AB131"/>
    <mergeCell ref="Q120:S122"/>
    <mergeCell ref="T120:V122"/>
    <mergeCell ref="W120:Y122"/>
    <mergeCell ref="Z120:AB122"/>
    <mergeCell ref="T123:V125"/>
    <mergeCell ref="W123:Y125"/>
    <mergeCell ref="Q123:S125"/>
    <mergeCell ref="W126:Y128"/>
    <mergeCell ref="Z126:AB128"/>
  </mergeCells>
  <conditionalFormatting sqref="R26">
    <cfRule type="expression" priority="1" dxfId="0" stopIfTrue="1">
      <formula>$R$26&lt;$S$44/2</formula>
    </cfRule>
    <cfRule type="expression" priority="2" dxfId="1" stopIfTrue="1">
      <formula>$R$26&lt;$S$44/4</formula>
    </cfRule>
  </conditionalFormatting>
  <printOptions horizontalCentered="1"/>
  <pageMargins left="0.25" right="0.25" top="0.75" bottom="0.25" header="0.25" footer="0.25"/>
  <pageSetup fitToHeight="1" fitToWidth="1" horizontalDpi="600" verticalDpi="600" orientation="landscape" scale="51" r:id="rId3"/>
  <headerFooter alignWithMargins="0">
    <oddHeader>&amp;C&amp;20FALLOUT PNP RPG - ЛИСТ ПЕРСОНАЖА - ЧАСТЬ 1</oddHead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32"/>
  <sheetViews>
    <sheetView showGridLines="0" zoomScale="92" zoomScaleNormal="92" workbookViewId="0" topLeftCell="A1">
      <selection activeCell="Z8" sqref="Z8"/>
    </sheetView>
  </sheetViews>
  <sheetFormatPr defaultColWidth="9.140625" defaultRowHeight="7.5" customHeight="1"/>
  <cols>
    <col min="1" max="5" width="2.7109375" style="10" customWidth="1"/>
    <col min="6" max="6" width="2.7109375" style="11" customWidth="1"/>
    <col min="7" max="48" width="2.7109375" style="10" customWidth="1"/>
    <col min="49" max="49" width="3.7109375" style="10" customWidth="1"/>
    <col min="50" max="51" width="2.7109375" style="10" customWidth="1"/>
    <col min="52" max="52" width="3.8515625" style="10" customWidth="1"/>
    <col min="53" max="16384" width="2.7109375" style="10" customWidth="1"/>
  </cols>
  <sheetData>
    <row r="1" spans="1:81" ht="7.5" customHeight="1" thickBot="1">
      <c r="A1" s="9"/>
      <c r="B1" s="12"/>
      <c r="C1" s="12"/>
      <c r="D1" s="12"/>
      <c r="E1" s="12"/>
      <c r="F1" s="27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8"/>
      <c r="Z1" s="34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39"/>
      <c r="AU1" s="12"/>
      <c r="AV1" s="12"/>
      <c r="AW1" s="40"/>
      <c r="AX1" s="40"/>
      <c r="AY1" s="40"/>
      <c r="AZ1" s="40"/>
      <c r="BA1" s="40"/>
      <c r="BB1" s="40"/>
      <c r="BC1" s="40"/>
      <c r="BD1" s="40"/>
      <c r="BE1" s="12"/>
      <c r="BF1" s="12"/>
      <c r="BG1" s="12"/>
      <c r="BH1" s="40"/>
      <c r="BI1" s="40"/>
      <c r="BJ1" s="12"/>
      <c r="BK1" s="12"/>
      <c r="BL1" s="12"/>
      <c r="BM1" s="12"/>
      <c r="BN1" s="12"/>
      <c r="BO1" s="12"/>
      <c r="BP1" s="12"/>
      <c r="BQ1" s="28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</row>
    <row r="2" spans="1:70" ht="7.5" customHeight="1" thickBot="1">
      <c r="A2" s="16"/>
      <c r="B2" s="484" t="s">
        <v>64</v>
      </c>
      <c r="C2" s="484"/>
      <c r="D2" s="484"/>
      <c r="E2" s="484"/>
      <c r="F2" s="484"/>
      <c r="G2" s="484"/>
      <c r="H2" s="484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29"/>
      <c r="Z2" s="19"/>
      <c r="AA2" s="189" t="s">
        <v>931</v>
      </c>
      <c r="AB2" s="190"/>
      <c r="AC2" s="190"/>
      <c r="AD2" s="190"/>
      <c r="AE2" s="190"/>
      <c r="AF2" s="193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5"/>
      <c r="AS2" s="13"/>
      <c r="AT2" s="13"/>
      <c r="AU2" s="13"/>
      <c r="AV2" s="13"/>
      <c r="AW2" s="13"/>
      <c r="AX2" s="14"/>
      <c r="AY2" s="14"/>
      <c r="AZ2" s="14"/>
      <c r="BA2" s="14"/>
      <c r="BB2" s="14"/>
      <c r="BC2" s="13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3"/>
      <c r="BQ2" s="29"/>
      <c r="BR2" s="13"/>
    </row>
    <row r="3" spans="1:70" ht="7.5" customHeight="1" thickBot="1">
      <c r="A3" s="16"/>
      <c r="B3" s="484"/>
      <c r="C3" s="484"/>
      <c r="D3" s="484"/>
      <c r="E3" s="484"/>
      <c r="F3" s="484"/>
      <c r="G3" s="484"/>
      <c r="H3" s="484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29"/>
      <c r="Z3" s="19"/>
      <c r="AA3" s="191"/>
      <c r="AB3" s="192"/>
      <c r="AC3" s="192"/>
      <c r="AD3" s="192"/>
      <c r="AE3" s="192"/>
      <c r="AF3" s="182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4"/>
      <c r="AS3" s="13"/>
      <c r="AT3" s="415" t="s">
        <v>274</v>
      </c>
      <c r="AU3" s="416"/>
      <c r="AV3" s="13"/>
      <c r="AW3" s="423" t="s">
        <v>305</v>
      </c>
      <c r="AX3" s="424"/>
      <c r="AY3" s="425"/>
      <c r="AZ3" s="14"/>
      <c r="BA3" s="423" t="s">
        <v>113</v>
      </c>
      <c r="BB3" s="424"/>
      <c r="BC3" s="424"/>
      <c r="BD3" s="424"/>
      <c r="BE3" s="424"/>
      <c r="BF3" s="424"/>
      <c r="BG3" s="425"/>
      <c r="BH3" s="14"/>
      <c r="BI3" s="423" t="s">
        <v>306</v>
      </c>
      <c r="BJ3" s="424"/>
      <c r="BK3" s="424"/>
      <c r="BL3" s="424"/>
      <c r="BM3" s="424"/>
      <c r="BN3" s="424"/>
      <c r="BO3" s="425"/>
      <c r="BP3" s="13"/>
      <c r="BQ3" s="29"/>
      <c r="BR3" s="13"/>
    </row>
    <row r="4" spans="1:70" ht="7.5" customHeight="1" thickBot="1">
      <c r="A4" s="16"/>
      <c r="B4" s="377" t="s">
        <v>65</v>
      </c>
      <c r="C4" s="377"/>
      <c r="D4" s="377"/>
      <c r="E4" s="227"/>
      <c r="F4" s="227"/>
      <c r="G4" s="227"/>
      <c r="H4" s="227"/>
      <c r="I4" s="377" t="s">
        <v>66</v>
      </c>
      <c r="J4" s="377"/>
      <c r="K4" s="377"/>
      <c r="L4" s="377"/>
      <c r="M4" s="413"/>
      <c r="N4" s="413"/>
      <c r="O4" s="413"/>
      <c r="P4" s="413"/>
      <c r="Q4" s="377" t="s">
        <v>70</v>
      </c>
      <c r="R4" s="377"/>
      <c r="S4" s="377"/>
      <c r="T4" s="377"/>
      <c r="U4" s="413"/>
      <c r="V4" s="413"/>
      <c r="W4" s="413"/>
      <c r="X4" s="413"/>
      <c r="Y4" s="29"/>
      <c r="Z4" s="19"/>
      <c r="AA4" s="15"/>
      <c r="AB4" s="15"/>
      <c r="AC4" s="15"/>
      <c r="AD4" s="15"/>
      <c r="AE4" s="15"/>
      <c r="AF4" s="15"/>
      <c r="AG4" s="15"/>
      <c r="AH4" s="15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417"/>
      <c r="AU4" s="418"/>
      <c r="AV4" s="13"/>
      <c r="AW4" s="426"/>
      <c r="AX4" s="427"/>
      <c r="AY4" s="428"/>
      <c r="AZ4" s="13"/>
      <c r="BA4" s="426"/>
      <c r="BB4" s="427"/>
      <c r="BC4" s="427"/>
      <c r="BD4" s="427"/>
      <c r="BE4" s="427"/>
      <c r="BF4" s="427"/>
      <c r="BG4" s="428"/>
      <c r="BH4" s="13"/>
      <c r="BI4" s="426"/>
      <c r="BJ4" s="427"/>
      <c r="BK4" s="427"/>
      <c r="BL4" s="427"/>
      <c r="BM4" s="427"/>
      <c r="BN4" s="427"/>
      <c r="BO4" s="428"/>
      <c r="BP4" s="13"/>
      <c r="BQ4" s="29"/>
      <c r="BR4" s="13"/>
    </row>
    <row r="5" spans="1:70" ht="7.5" customHeight="1">
      <c r="A5" s="16"/>
      <c r="B5" s="377"/>
      <c r="C5" s="377"/>
      <c r="D5" s="377"/>
      <c r="E5" s="227"/>
      <c r="F5" s="227"/>
      <c r="G5" s="227"/>
      <c r="H5" s="227"/>
      <c r="I5" s="377"/>
      <c r="J5" s="377"/>
      <c r="K5" s="377"/>
      <c r="L5" s="377"/>
      <c r="M5" s="413"/>
      <c r="N5" s="413"/>
      <c r="O5" s="413"/>
      <c r="P5" s="413"/>
      <c r="Q5" s="377"/>
      <c r="R5" s="377"/>
      <c r="S5" s="377"/>
      <c r="T5" s="377"/>
      <c r="U5" s="413"/>
      <c r="V5" s="413"/>
      <c r="W5" s="413"/>
      <c r="X5" s="413"/>
      <c r="Y5" s="29"/>
      <c r="Z5" s="19"/>
      <c r="AA5" s="17"/>
      <c r="AB5" s="17"/>
      <c r="AC5" s="419" t="s">
        <v>73</v>
      </c>
      <c r="AD5" s="420"/>
      <c r="AE5" s="420"/>
      <c r="AF5" s="420"/>
      <c r="AG5" s="420"/>
      <c r="AH5" s="420"/>
      <c r="AI5" s="420"/>
      <c r="AJ5" s="420"/>
      <c r="AK5" s="474" t="s">
        <v>222</v>
      </c>
      <c r="AL5" s="475"/>
      <c r="AM5" s="13"/>
      <c r="AN5" s="415" t="s">
        <v>74</v>
      </c>
      <c r="AO5" s="442"/>
      <c r="AP5" s="479" t="s">
        <v>8</v>
      </c>
      <c r="AQ5" s="416"/>
      <c r="AR5" s="13"/>
      <c r="AS5" s="13"/>
      <c r="AT5" s="409" t="s">
        <v>275</v>
      </c>
      <c r="AU5" s="410"/>
      <c r="AV5" s="13"/>
      <c r="AW5" s="429">
        <f>IF(M20&gt;0,M20*(B16-1),0)</f>
        <v>0</v>
      </c>
      <c r="AX5" s="429"/>
      <c r="AY5" s="429"/>
      <c r="AZ5" s="5"/>
      <c r="BA5" s="431">
        <f>SUM(AX7:AY44,BB7:BC44,BF7:BG44,BJ7:BK44,BN7:BO44)</f>
        <v>0</v>
      </c>
      <c r="BB5" s="431"/>
      <c r="BC5" s="431"/>
      <c r="BD5" s="431"/>
      <c r="BE5" s="431"/>
      <c r="BF5" s="431"/>
      <c r="BG5" s="431"/>
      <c r="BH5" s="5"/>
      <c r="BI5" s="431">
        <f>AW5-BA5</f>
        <v>0</v>
      </c>
      <c r="BJ5" s="431"/>
      <c r="BK5" s="431"/>
      <c r="BL5" s="431"/>
      <c r="BM5" s="431"/>
      <c r="BN5" s="431"/>
      <c r="BO5" s="431"/>
      <c r="BP5" s="13"/>
      <c r="BQ5" s="29"/>
      <c r="BR5" s="13"/>
    </row>
    <row r="6" spans="1:70" ht="9" customHeight="1" thickBot="1">
      <c r="A6" s="16"/>
      <c r="B6" s="377" t="s">
        <v>68</v>
      </c>
      <c r="C6" s="377"/>
      <c r="D6" s="377"/>
      <c r="E6" s="466"/>
      <c r="F6" s="466"/>
      <c r="G6" s="466"/>
      <c r="H6" s="466"/>
      <c r="I6" s="466"/>
      <c r="J6" s="466"/>
      <c r="K6" s="466"/>
      <c r="L6" s="466"/>
      <c r="M6" s="466"/>
      <c r="N6" s="377" t="s">
        <v>69</v>
      </c>
      <c r="O6" s="377"/>
      <c r="P6" s="377"/>
      <c r="Q6" s="407"/>
      <c r="R6" s="407"/>
      <c r="S6" s="407"/>
      <c r="T6" s="407"/>
      <c r="U6" s="407"/>
      <c r="V6" s="407"/>
      <c r="W6" s="407"/>
      <c r="X6" s="407"/>
      <c r="Y6" s="29"/>
      <c r="Z6" s="19"/>
      <c r="AA6" s="17"/>
      <c r="AB6" s="17"/>
      <c r="AC6" s="421"/>
      <c r="AD6" s="422"/>
      <c r="AE6" s="422"/>
      <c r="AF6" s="422"/>
      <c r="AG6" s="422"/>
      <c r="AH6" s="422"/>
      <c r="AI6" s="422"/>
      <c r="AJ6" s="422"/>
      <c r="AK6" s="476"/>
      <c r="AL6" s="477"/>
      <c r="AM6" s="13"/>
      <c r="AN6" s="443"/>
      <c r="AO6" s="444"/>
      <c r="AP6" s="480"/>
      <c r="AQ6" s="418"/>
      <c r="AR6" s="13"/>
      <c r="AS6" s="13"/>
      <c r="AT6" s="411"/>
      <c r="AU6" s="412"/>
      <c r="AV6" s="13"/>
      <c r="AW6" s="430"/>
      <c r="AX6" s="430"/>
      <c r="AY6" s="430"/>
      <c r="AZ6" s="5"/>
      <c r="BA6" s="432"/>
      <c r="BB6" s="432"/>
      <c r="BC6" s="432"/>
      <c r="BD6" s="432"/>
      <c r="BE6" s="432"/>
      <c r="BF6" s="432"/>
      <c r="BG6" s="432"/>
      <c r="BH6" s="5"/>
      <c r="BI6" s="432"/>
      <c r="BJ6" s="432"/>
      <c r="BK6" s="432"/>
      <c r="BL6" s="432"/>
      <c r="BM6" s="432"/>
      <c r="BN6" s="432"/>
      <c r="BO6" s="432"/>
      <c r="BP6" s="13"/>
      <c r="BQ6" s="29"/>
      <c r="BR6" s="13"/>
    </row>
    <row r="7" spans="1:70" ht="8.25" customHeight="1">
      <c r="A7" s="16"/>
      <c r="B7" s="377"/>
      <c r="C7" s="377"/>
      <c r="D7" s="377"/>
      <c r="E7" s="466"/>
      <c r="F7" s="466"/>
      <c r="G7" s="466"/>
      <c r="H7" s="466"/>
      <c r="I7" s="466"/>
      <c r="J7" s="466"/>
      <c r="K7" s="466"/>
      <c r="L7" s="466"/>
      <c r="M7" s="466"/>
      <c r="N7" s="377"/>
      <c r="O7" s="377"/>
      <c r="P7" s="377"/>
      <c r="Q7" s="407"/>
      <c r="R7" s="407"/>
      <c r="S7" s="407"/>
      <c r="T7" s="407"/>
      <c r="U7" s="407"/>
      <c r="V7" s="407"/>
      <c r="W7" s="407"/>
      <c r="X7" s="407"/>
      <c r="Y7" s="29"/>
      <c r="Z7" s="19"/>
      <c r="AA7" s="15"/>
      <c r="AB7" s="15"/>
      <c r="AC7" s="286" t="s">
        <v>256</v>
      </c>
      <c r="AD7" s="286"/>
      <c r="AE7" s="286"/>
      <c r="AF7" s="286"/>
      <c r="AG7" s="286"/>
      <c r="AH7" s="286"/>
      <c r="AI7" s="286"/>
      <c r="AJ7" s="286"/>
      <c r="AK7" s="478">
        <f>SUM(AN7:AQ8)+IF(Таблицы!BM35=1,Таблицы!BM32,0)+AT7</f>
        <v>25</v>
      </c>
      <c r="AL7" s="478"/>
      <c r="AM7" s="13"/>
      <c r="AN7" s="287">
        <f>IF(D36=0,"",5+(D36*4)+Таблицы!M202+Таблицы!U202)</f>
        <v>25</v>
      </c>
      <c r="AO7" s="287"/>
      <c r="AP7" s="481"/>
      <c r="AQ7" s="481"/>
      <c r="AR7" s="13"/>
      <c r="AS7" s="13"/>
      <c r="AT7" s="287">
        <f>IF(Таблицы!M202=20,SUM(AX7*2,BB7*2/2,INT(BF7*2/3),INT(BJ7*2/4),INT(BN7*2/5)),SUM(AX7,INT(BB7/2),INT(BF7/3),INT(BJ7/4),INT(BN7/5)))</f>
        <v>0</v>
      </c>
      <c r="AU7" s="287"/>
      <c r="AV7" s="13"/>
      <c r="AW7" s="433" t="s">
        <v>108</v>
      </c>
      <c r="AX7" s="414"/>
      <c r="AY7" s="414"/>
      <c r="AZ7" s="13"/>
      <c r="BA7" s="433" t="s">
        <v>109</v>
      </c>
      <c r="BB7" s="414"/>
      <c r="BC7" s="414"/>
      <c r="BD7" s="13"/>
      <c r="BE7" s="433" t="s">
        <v>110</v>
      </c>
      <c r="BF7" s="414"/>
      <c r="BG7" s="414"/>
      <c r="BH7" s="13"/>
      <c r="BI7" s="433" t="s">
        <v>111</v>
      </c>
      <c r="BJ7" s="414"/>
      <c r="BK7" s="414"/>
      <c r="BL7" s="13"/>
      <c r="BM7" s="433" t="s">
        <v>112</v>
      </c>
      <c r="BN7" s="414"/>
      <c r="BO7" s="414"/>
      <c r="BP7" s="13"/>
      <c r="BQ7" s="29"/>
      <c r="BR7" s="13"/>
    </row>
    <row r="8" spans="1:70" ht="7.5" customHeight="1">
      <c r="A8" s="16"/>
      <c r="B8" s="377" t="s">
        <v>71</v>
      </c>
      <c r="C8" s="377"/>
      <c r="D8" s="377"/>
      <c r="E8" s="377"/>
      <c r="F8" s="466"/>
      <c r="G8" s="466"/>
      <c r="H8" s="466"/>
      <c r="I8" s="466"/>
      <c r="J8" s="466"/>
      <c r="K8" s="466"/>
      <c r="L8" s="466"/>
      <c r="M8" s="466"/>
      <c r="N8" s="377" t="s">
        <v>67</v>
      </c>
      <c r="O8" s="377"/>
      <c r="P8" s="377"/>
      <c r="Q8" s="466"/>
      <c r="R8" s="466"/>
      <c r="S8" s="466"/>
      <c r="T8" s="466"/>
      <c r="U8" s="466"/>
      <c r="V8" s="466"/>
      <c r="W8" s="466"/>
      <c r="X8" s="466"/>
      <c r="Y8" s="29"/>
      <c r="Z8" s="19"/>
      <c r="AA8" s="15"/>
      <c r="AB8" s="15"/>
      <c r="AC8" s="172"/>
      <c r="AD8" s="172"/>
      <c r="AE8" s="172"/>
      <c r="AF8" s="172"/>
      <c r="AG8" s="172"/>
      <c r="AH8" s="172"/>
      <c r="AI8" s="172"/>
      <c r="AJ8" s="172"/>
      <c r="AK8" s="435"/>
      <c r="AL8" s="435"/>
      <c r="AM8" s="13"/>
      <c r="AN8" s="228"/>
      <c r="AO8" s="228"/>
      <c r="AP8" s="436"/>
      <c r="AQ8" s="436"/>
      <c r="AR8" s="15"/>
      <c r="AS8" s="15"/>
      <c r="AT8" s="228"/>
      <c r="AU8" s="228"/>
      <c r="AV8" s="13"/>
      <c r="AW8" s="434"/>
      <c r="AX8" s="413"/>
      <c r="AY8" s="413"/>
      <c r="AZ8" s="13"/>
      <c r="BA8" s="434"/>
      <c r="BB8" s="413"/>
      <c r="BC8" s="413"/>
      <c r="BD8" s="13"/>
      <c r="BE8" s="434"/>
      <c r="BF8" s="413"/>
      <c r="BG8" s="413"/>
      <c r="BH8" s="13"/>
      <c r="BI8" s="434"/>
      <c r="BJ8" s="413"/>
      <c r="BK8" s="413"/>
      <c r="BL8" s="13"/>
      <c r="BM8" s="434"/>
      <c r="BN8" s="413"/>
      <c r="BO8" s="413"/>
      <c r="BP8" s="13"/>
      <c r="BQ8" s="29"/>
      <c r="BR8" s="13"/>
    </row>
    <row r="9" spans="1:70" ht="7.5" customHeight="1">
      <c r="A9" s="16"/>
      <c r="B9" s="377"/>
      <c r="C9" s="377"/>
      <c r="D9" s="377"/>
      <c r="E9" s="377"/>
      <c r="F9" s="466"/>
      <c r="G9" s="466"/>
      <c r="H9" s="466"/>
      <c r="I9" s="466"/>
      <c r="J9" s="466"/>
      <c r="K9" s="466"/>
      <c r="L9" s="466"/>
      <c r="M9" s="466"/>
      <c r="N9" s="377"/>
      <c r="O9" s="377"/>
      <c r="P9" s="377"/>
      <c r="Q9" s="466"/>
      <c r="R9" s="466"/>
      <c r="S9" s="466"/>
      <c r="T9" s="466"/>
      <c r="U9" s="466"/>
      <c r="V9" s="466"/>
      <c r="W9" s="466"/>
      <c r="X9" s="466"/>
      <c r="Y9" s="29"/>
      <c r="Z9" s="19"/>
      <c r="AA9" s="15"/>
      <c r="AB9" s="15"/>
      <c r="AC9" s="172" t="s">
        <v>255</v>
      </c>
      <c r="AD9" s="172"/>
      <c r="AE9" s="172"/>
      <c r="AF9" s="172"/>
      <c r="AG9" s="172"/>
      <c r="AH9" s="172"/>
      <c r="AI9" s="172"/>
      <c r="AJ9" s="172"/>
      <c r="AK9" s="435">
        <f>SUM(AN9:AQ10)+IF(Таблицы!BM35=2,Таблицы!BM32,0)+AT9</f>
        <v>10</v>
      </c>
      <c r="AL9" s="435"/>
      <c r="AM9" s="13"/>
      <c r="AN9" s="228">
        <f>IF(D36=0,"",(D36*2)+Таблицы!M203+Таблицы!U203)</f>
        <v>10</v>
      </c>
      <c r="AO9" s="228"/>
      <c r="AP9" s="436"/>
      <c r="AQ9" s="436"/>
      <c r="AR9" s="13"/>
      <c r="AS9" s="13"/>
      <c r="AT9" s="287">
        <f>IF(Таблицы!M203=20,SUM(AX7*2,BB7*2/2,INT(BF7*2/3),INT(BJ7*2/4),INT(BN7*2/5)),SUM(AX7,INT(BB7/2),INT(BF7/3),INT(BJ7/4),INT(BN7/5)))</f>
        <v>0</v>
      </c>
      <c r="AU9" s="287"/>
      <c r="AV9" s="13"/>
      <c r="AW9" s="434"/>
      <c r="AX9" s="413"/>
      <c r="AY9" s="413"/>
      <c r="AZ9" s="13"/>
      <c r="BA9" s="434"/>
      <c r="BB9" s="413"/>
      <c r="BC9" s="413"/>
      <c r="BD9" s="13"/>
      <c r="BE9" s="434"/>
      <c r="BF9" s="413"/>
      <c r="BG9" s="413"/>
      <c r="BH9" s="13"/>
      <c r="BI9" s="434"/>
      <c r="BJ9" s="413"/>
      <c r="BK9" s="413"/>
      <c r="BL9" s="13"/>
      <c r="BM9" s="434"/>
      <c r="BN9" s="413"/>
      <c r="BO9" s="413"/>
      <c r="BP9" s="13"/>
      <c r="BQ9" s="29"/>
      <c r="BR9" s="13"/>
    </row>
    <row r="10" spans="1:70" ht="7.5" customHeight="1">
      <c r="A10" s="16"/>
      <c r="B10" s="377" t="s">
        <v>221</v>
      </c>
      <c r="C10" s="377"/>
      <c r="D10" s="377"/>
      <c r="E10" s="377"/>
      <c r="F10" s="377"/>
      <c r="G10" s="377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29"/>
      <c r="Z10" s="19"/>
      <c r="AA10" s="15"/>
      <c r="AB10" s="15"/>
      <c r="AC10" s="172"/>
      <c r="AD10" s="172"/>
      <c r="AE10" s="172"/>
      <c r="AF10" s="172"/>
      <c r="AG10" s="172"/>
      <c r="AH10" s="172"/>
      <c r="AI10" s="172"/>
      <c r="AJ10" s="172"/>
      <c r="AK10" s="435"/>
      <c r="AL10" s="435"/>
      <c r="AM10" s="13"/>
      <c r="AN10" s="228"/>
      <c r="AO10" s="228"/>
      <c r="AP10" s="436"/>
      <c r="AQ10" s="436"/>
      <c r="AR10" s="15"/>
      <c r="AS10" s="13"/>
      <c r="AT10" s="228"/>
      <c r="AU10" s="228"/>
      <c r="AV10" s="13"/>
      <c r="AW10" s="434"/>
      <c r="AX10" s="413"/>
      <c r="AY10" s="413"/>
      <c r="AZ10" s="13"/>
      <c r="BA10" s="434"/>
      <c r="BB10" s="413"/>
      <c r="BC10" s="413"/>
      <c r="BD10" s="13"/>
      <c r="BE10" s="434"/>
      <c r="BF10" s="413"/>
      <c r="BG10" s="413"/>
      <c r="BH10" s="13"/>
      <c r="BI10" s="434"/>
      <c r="BJ10" s="413"/>
      <c r="BK10" s="413"/>
      <c r="BL10" s="13"/>
      <c r="BM10" s="434"/>
      <c r="BN10" s="413"/>
      <c r="BO10" s="413"/>
      <c r="BP10" s="13"/>
      <c r="BQ10" s="29"/>
      <c r="BR10" s="13"/>
    </row>
    <row r="11" spans="1:70" ht="7.5" customHeight="1">
      <c r="A11" s="16"/>
      <c r="B11" s="377"/>
      <c r="C11" s="377"/>
      <c r="D11" s="377"/>
      <c r="E11" s="377"/>
      <c r="F11" s="377"/>
      <c r="G11" s="377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29"/>
      <c r="Z11" s="19"/>
      <c r="AA11" s="15"/>
      <c r="AB11" s="15"/>
      <c r="AC11" s="172" t="s">
        <v>77</v>
      </c>
      <c r="AD11" s="172"/>
      <c r="AE11" s="172"/>
      <c r="AF11" s="172"/>
      <c r="AG11" s="172"/>
      <c r="AH11" s="172"/>
      <c r="AI11" s="172"/>
      <c r="AJ11" s="172"/>
      <c r="AK11" s="435">
        <f>SUM(AN11:AQ12)+IF(Таблицы!BM35=3,Таблицы!BM32,0)+AT11</f>
        <v>10</v>
      </c>
      <c r="AL11" s="435"/>
      <c r="AM11" s="13"/>
      <c r="AN11" s="228">
        <f>IF(D36=0,"",(D36*2)+Таблицы!M204+Таблицы!U204)</f>
        <v>10</v>
      </c>
      <c r="AO11" s="228"/>
      <c r="AP11" s="436"/>
      <c r="AQ11" s="436"/>
      <c r="AR11" s="13"/>
      <c r="AS11" s="13"/>
      <c r="AT11" s="287">
        <f>IF(Таблицы!M204=20,SUM(AX11*2,BB11*2/2,INT(BF11*2/3),INT(BJ11*2/4),INT(BN11*2/5)),SUM(AX11,INT(BB11/2),INT(BF11/3),INT(BJ11/4),INT(BN11/5)))</f>
        <v>0</v>
      </c>
      <c r="AU11" s="287"/>
      <c r="AV11" s="13"/>
      <c r="AW11" s="434"/>
      <c r="AX11" s="413"/>
      <c r="AY11" s="413"/>
      <c r="AZ11" s="13"/>
      <c r="BA11" s="434"/>
      <c r="BB11" s="413"/>
      <c r="BC11" s="413"/>
      <c r="BD11" s="13"/>
      <c r="BE11" s="434"/>
      <c r="BF11" s="413"/>
      <c r="BG11" s="413"/>
      <c r="BH11" s="13"/>
      <c r="BI11" s="434"/>
      <c r="BJ11" s="413"/>
      <c r="BK11" s="413"/>
      <c r="BL11" s="13"/>
      <c r="BM11" s="434"/>
      <c r="BN11" s="413"/>
      <c r="BO11" s="413"/>
      <c r="BP11" s="13"/>
      <c r="BQ11" s="29"/>
      <c r="BR11" s="13"/>
    </row>
    <row r="12" spans="1:70" ht="7.5" customHeight="1">
      <c r="A12" s="69"/>
      <c r="B12" s="46"/>
      <c r="C12" s="46"/>
      <c r="D12" s="46"/>
      <c r="E12" s="46"/>
      <c r="F12" s="68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70"/>
      <c r="Z12" s="41"/>
      <c r="AA12" s="15"/>
      <c r="AB12" s="15"/>
      <c r="AC12" s="172"/>
      <c r="AD12" s="172"/>
      <c r="AE12" s="172"/>
      <c r="AF12" s="172"/>
      <c r="AG12" s="172"/>
      <c r="AH12" s="172"/>
      <c r="AI12" s="172"/>
      <c r="AJ12" s="172"/>
      <c r="AK12" s="435"/>
      <c r="AL12" s="435"/>
      <c r="AM12" s="13"/>
      <c r="AN12" s="228"/>
      <c r="AO12" s="228"/>
      <c r="AP12" s="436"/>
      <c r="AQ12" s="436"/>
      <c r="AR12" s="15"/>
      <c r="AS12" s="13"/>
      <c r="AT12" s="228"/>
      <c r="AU12" s="228"/>
      <c r="AV12" s="13"/>
      <c r="AW12" s="434"/>
      <c r="AX12" s="413"/>
      <c r="AY12" s="413"/>
      <c r="AZ12" s="13"/>
      <c r="BA12" s="434"/>
      <c r="BB12" s="413"/>
      <c r="BC12" s="413"/>
      <c r="BD12" s="13"/>
      <c r="BE12" s="434"/>
      <c r="BF12" s="413"/>
      <c r="BG12" s="413"/>
      <c r="BH12" s="13"/>
      <c r="BI12" s="434"/>
      <c r="BJ12" s="413"/>
      <c r="BK12" s="413"/>
      <c r="BL12" s="13"/>
      <c r="BM12" s="434"/>
      <c r="BN12" s="413"/>
      <c r="BO12" s="413"/>
      <c r="BP12" s="13"/>
      <c r="BQ12" s="29"/>
      <c r="BR12" s="13"/>
    </row>
    <row r="13" spans="1:70" ht="7.5" customHeight="1" thickBot="1">
      <c r="A13" s="16"/>
      <c r="B13" s="13"/>
      <c r="C13" s="13"/>
      <c r="D13" s="13"/>
      <c r="E13" s="13"/>
      <c r="F13" s="35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36"/>
      <c r="Z13" s="41"/>
      <c r="AA13" s="15"/>
      <c r="AB13" s="15"/>
      <c r="AC13" s="172" t="s">
        <v>76</v>
      </c>
      <c r="AD13" s="172"/>
      <c r="AE13" s="172"/>
      <c r="AF13" s="172"/>
      <c r="AG13" s="172"/>
      <c r="AH13" s="172"/>
      <c r="AI13" s="172"/>
      <c r="AJ13" s="172"/>
      <c r="AK13" s="435">
        <f>SUM(AN13:AQ14)+IF(Таблицы!BM35=4,Таблицы!BM32,0)+AT13</f>
        <v>50</v>
      </c>
      <c r="AL13" s="435"/>
      <c r="AM13" s="13"/>
      <c r="AN13" s="228">
        <f>IF(D36=0,"",30+(2*SUM(D36,D26)+Таблицы!M205+Таблицы!U205))</f>
        <v>50</v>
      </c>
      <c r="AO13" s="228"/>
      <c r="AP13" s="436"/>
      <c r="AQ13" s="436"/>
      <c r="AR13" s="13"/>
      <c r="AS13" s="13"/>
      <c r="AT13" s="287">
        <f>IF(Таблицы!M205=20,SUM(AX13*2,BB13*2/2,INT(BF13*2/3),INT(BJ13*2/4),INT(BN13*2/5)),SUM(AX13,INT(BB13/2),INT(BF13/3),INT(BJ13/4),INT(BN13/5)))</f>
        <v>0</v>
      </c>
      <c r="AU13" s="287"/>
      <c r="AV13" s="13"/>
      <c r="AW13" s="434"/>
      <c r="AX13" s="413"/>
      <c r="AY13" s="413"/>
      <c r="AZ13" s="13"/>
      <c r="BA13" s="434"/>
      <c r="BB13" s="413"/>
      <c r="BC13" s="413"/>
      <c r="BD13" s="13"/>
      <c r="BE13" s="434"/>
      <c r="BF13" s="413"/>
      <c r="BG13" s="413"/>
      <c r="BH13" s="13"/>
      <c r="BI13" s="434"/>
      <c r="BJ13" s="413"/>
      <c r="BK13" s="413"/>
      <c r="BL13" s="13"/>
      <c r="BM13" s="434"/>
      <c r="BN13" s="413"/>
      <c r="BO13" s="413"/>
      <c r="BP13" s="13"/>
      <c r="BQ13" s="29"/>
      <c r="BR13" s="13"/>
    </row>
    <row r="14" spans="1:70" ht="7.5" customHeight="1">
      <c r="A14" s="16"/>
      <c r="B14" s="448" t="s">
        <v>58</v>
      </c>
      <c r="C14" s="449"/>
      <c r="D14" s="449"/>
      <c r="E14" s="449"/>
      <c r="F14" s="449"/>
      <c r="G14" s="449" t="s">
        <v>59</v>
      </c>
      <c r="H14" s="449"/>
      <c r="I14" s="449"/>
      <c r="J14" s="449"/>
      <c r="K14" s="449"/>
      <c r="L14" s="449"/>
      <c r="M14" s="449" t="s">
        <v>60</v>
      </c>
      <c r="N14" s="449"/>
      <c r="O14" s="449"/>
      <c r="P14" s="449"/>
      <c r="Q14" s="449"/>
      <c r="R14" s="449"/>
      <c r="S14" s="449" t="s">
        <v>61</v>
      </c>
      <c r="T14" s="449"/>
      <c r="U14" s="449"/>
      <c r="V14" s="449"/>
      <c r="W14" s="449"/>
      <c r="X14" s="450"/>
      <c r="Y14" s="29"/>
      <c r="Z14" s="19"/>
      <c r="AA14" s="15"/>
      <c r="AB14" s="15"/>
      <c r="AC14" s="172"/>
      <c r="AD14" s="172"/>
      <c r="AE14" s="172"/>
      <c r="AF14" s="172"/>
      <c r="AG14" s="172"/>
      <c r="AH14" s="172"/>
      <c r="AI14" s="172"/>
      <c r="AJ14" s="172"/>
      <c r="AK14" s="435"/>
      <c r="AL14" s="435"/>
      <c r="AM14" s="13"/>
      <c r="AN14" s="228"/>
      <c r="AO14" s="228"/>
      <c r="AP14" s="436"/>
      <c r="AQ14" s="436"/>
      <c r="AR14" s="15"/>
      <c r="AS14" s="13"/>
      <c r="AT14" s="228"/>
      <c r="AU14" s="228"/>
      <c r="AV14" s="13"/>
      <c r="AW14" s="434"/>
      <c r="AX14" s="413"/>
      <c r="AY14" s="413"/>
      <c r="AZ14" s="13"/>
      <c r="BA14" s="434"/>
      <c r="BB14" s="413"/>
      <c r="BC14" s="413"/>
      <c r="BD14" s="13"/>
      <c r="BE14" s="434"/>
      <c r="BF14" s="413"/>
      <c r="BG14" s="413"/>
      <c r="BH14" s="13"/>
      <c r="BI14" s="434"/>
      <c r="BJ14" s="413"/>
      <c r="BK14" s="413"/>
      <c r="BL14" s="13"/>
      <c r="BM14" s="434"/>
      <c r="BN14" s="413"/>
      <c r="BO14" s="413"/>
      <c r="BP14" s="13"/>
      <c r="BQ14" s="29"/>
      <c r="BR14" s="13"/>
    </row>
    <row r="15" spans="1:70" ht="7.5" customHeight="1" thickBot="1">
      <c r="A15" s="16"/>
      <c r="B15" s="451"/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3"/>
      <c r="Y15" s="29"/>
      <c r="Z15" s="19"/>
      <c r="AA15" s="15"/>
      <c r="AB15" s="15"/>
      <c r="AC15" s="172" t="s">
        <v>78</v>
      </c>
      <c r="AD15" s="172"/>
      <c r="AE15" s="172"/>
      <c r="AF15" s="172"/>
      <c r="AG15" s="172"/>
      <c r="AH15" s="172"/>
      <c r="AI15" s="172"/>
      <c r="AJ15" s="172"/>
      <c r="AK15" s="435">
        <f>SUM(AN15:AQ16)+IF(Таблицы!BM35=5,Таблицы!BM32,0)+AT15</f>
        <v>40</v>
      </c>
      <c r="AL15" s="435"/>
      <c r="AM15" s="13"/>
      <c r="AN15" s="228">
        <f>IF(D36=0,"",20+(2*SUM(D36,D26)+Таблицы!M206+Таблицы!U206))</f>
        <v>40</v>
      </c>
      <c r="AO15" s="228"/>
      <c r="AP15" s="436"/>
      <c r="AQ15" s="436"/>
      <c r="AR15" s="13"/>
      <c r="AS15" s="13"/>
      <c r="AT15" s="287">
        <f>IF(Таблицы!M206=20,SUM(AX15*2,BB15*2/2,INT(BF15*2/3),INT(BJ15*2/4),INT(BN15*2/5)),SUM(AX15,INT(BB15/2),INT(BF15/3),INT(BJ15/4),INT(BN15/5)))</f>
        <v>0</v>
      </c>
      <c r="AU15" s="287"/>
      <c r="AV15" s="13"/>
      <c r="AW15" s="434"/>
      <c r="AX15" s="413"/>
      <c r="AY15" s="413"/>
      <c r="AZ15" s="13"/>
      <c r="BA15" s="434"/>
      <c r="BB15" s="413"/>
      <c r="BC15" s="413"/>
      <c r="BD15" s="13"/>
      <c r="BE15" s="434"/>
      <c r="BF15" s="413"/>
      <c r="BG15" s="413"/>
      <c r="BH15" s="13"/>
      <c r="BI15" s="434"/>
      <c r="BJ15" s="413"/>
      <c r="BK15" s="413"/>
      <c r="BL15" s="13"/>
      <c r="BM15" s="434"/>
      <c r="BN15" s="413"/>
      <c r="BO15" s="413"/>
      <c r="BP15" s="13"/>
      <c r="BQ15" s="29"/>
      <c r="BR15" s="13"/>
    </row>
    <row r="16" spans="1:70" ht="6.75" customHeight="1">
      <c r="A16" s="19"/>
      <c r="B16" s="287">
        <f>VLOOKUP(G16,Таблицы!A2:B32,2,TRUE)</f>
        <v>1</v>
      </c>
      <c r="C16" s="287"/>
      <c r="D16" s="287"/>
      <c r="E16" s="287"/>
      <c r="F16" s="287"/>
      <c r="G16" s="254">
        <v>0</v>
      </c>
      <c r="H16" s="254"/>
      <c r="I16" s="254"/>
      <c r="J16" s="254"/>
      <c r="K16" s="254"/>
      <c r="L16" s="254"/>
      <c r="M16" s="287">
        <f>VLOOKUP(B16+1,Таблицы!B2:C32,2,FALSE)</f>
        <v>1000</v>
      </c>
      <c r="N16" s="287"/>
      <c r="O16" s="287"/>
      <c r="P16" s="287"/>
      <c r="Q16" s="287"/>
      <c r="R16" s="287"/>
      <c r="S16" s="254"/>
      <c r="T16" s="254"/>
      <c r="U16" s="254"/>
      <c r="V16" s="254"/>
      <c r="W16" s="254"/>
      <c r="X16" s="254"/>
      <c r="Y16" s="29"/>
      <c r="Z16" s="19"/>
      <c r="AA16" s="15"/>
      <c r="AB16" s="15"/>
      <c r="AC16" s="172"/>
      <c r="AD16" s="172"/>
      <c r="AE16" s="172"/>
      <c r="AF16" s="172"/>
      <c r="AG16" s="172"/>
      <c r="AH16" s="172"/>
      <c r="AI16" s="172"/>
      <c r="AJ16" s="172"/>
      <c r="AK16" s="435"/>
      <c r="AL16" s="435"/>
      <c r="AM16" s="13"/>
      <c r="AN16" s="228"/>
      <c r="AO16" s="228"/>
      <c r="AP16" s="436"/>
      <c r="AQ16" s="436"/>
      <c r="AR16" s="15"/>
      <c r="AS16" s="13"/>
      <c r="AT16" s="228"/>
      <c r="AU16" s="228"/>
      <c r="AV16" s="13"/>
      <c r="AW16" s="434"/>
      <c r="AX16" s="413"/>
      <c r="AY16" s="413"/>
      <c r="AZ16" s="13"/>
      <c r="BA16" s="434"/>
      <c r="BB16" s="413"/>
      <c r="BC16" s="413"/>
      <c r="BD16" s="13"/>
      <c r="BE16" s="434"/>
      <c r="BF16" s="413"/>
      <c r="BG16" s="413"/>
      <c r="BH16" s="13"/>
      <c r="BI16" s="434"/>
      <c r="BJ16" s="413"/>
      <c r="BK16" s="413"/>
      <c r="BL16" s="13"/>
      <c r="BM16" s="434"/>
      <c r="BN16" s="413"/>
      <c r="BO16" s="413"/>
      <c r="BP16" s="13"/>
      <c r="BQ16" s="29"/>
      <c r="BR16" s="13"/>
    </row>
    <row r="17" spans="1:70" ht="7.5" customHeight="1" thickBot="1">
      <c r="A17" s="20"/>
      <c r="B17" s="483"/>
      <c r="C17" s="483"/>
      <c r="D17" s="483"/>
      <c r="E17" s="483"/>
      <c r="F17" s="483"/>
      <c r="G17" s="468"/>
      <c r="H17" s="468"/>
      <c r="I17" s="468"/>
      <c r="J17" s="468"/>
      <c r="K17" s="468"/>
      <c r="L17" s="468"/>
      <c r="M17" s="483"/>
      <c r="N17" s="483"/>
      <c r="O17" s="483"/>
      <c r="P17" s="483"/>
      <c r="Q17" s="483"/>
      <c r="R17" s="483"/>
      <c r="S17" s="468"/>
      <c r="T17" s="468"/>
      <c r="U17" s="468"/>
      <c r="V17" s="468"/>
      <c r="W17" s="468"/>
      <c r="X17" s="468"/>
      <c r="Y17" s="29"/>
      <c r="Z17" s="19"/>
      <c r="AA17" s="15"/>
      <c r="AB17" s="15"/>
      <c r="AC17" s="172" t="s">
        <v>1168</v>
      </c>
      <c r="AD17" s="172"/>
      <c r="AE17" s="172"/>
      <c r="AF17" s="172"/>
      <c r="AG17" s="172"/>
      <c r="AH17" s="172"/>
      <c r="AI17" s="172"/>
      <c r="AJ17" s="172"/>
      <c r="AK17" s="435">
        <f>SUM(AN17:AQ18)+IF(Таблицы!BM35=6,Таблицы!BM32,0)+AT17</f>
        <v>20</v>
      </c>
      <c r="AL17" s="435"/>
      <c r="AM17" s="13"/>
      <c r="AN17" s="228">
        <f>IF(D36=0,"",(D36*4)+Таблицы!M207+Таблицы!U207)</f>
        <v>20</v>
      </c>
      <c r="AO17" s="228"/>
      <c r="AP17" s="436"/>
      <c r="AQ17" s="436"/>
      <c r="AR17" s="13"/>
      <c r="AS17" s="13"/>
      <c r="AT17" s="287">
        <f>IF(Таблицы!M207=20,SUM(AX17*2,BB17*2/2,INT(BF17*2/3),INT(BJ17*2/4),INT(BN17*2/5)),SUM(AX17,INT(BB17/2),INT(BF17/3),INT(BJ17/4),INT(BN17/5)))</f>
        <v>0</v>
      </c>
      <c r="AU17" s="287"/>
      <c r="AV17" s="13"/>
      <c r="AW17" s="434"/>
      <c r="AX17" s="413"/>
      <c r="AY17" s="413"/>
      <c r="AZ17" s="13"/>
      <c r="BA17" s="434"/>
      <c r="BB17" s="413"/>
      <c r="BC17" s="413"/>
      <c r="BD17" s="13"/>
      <c r="BE17" s="434"/>
      <c r="BF17" s="413"/>
      <c r="BG17" s="413"/>
      <c r="BH17" s="13"/>
      <c r="BI17" s="434"/>
      <c r="BJ17" s="413"/>
      <c r="BK17" s="413"/>
      <c r="BL17" s="13"/>
      <c r="BM17" s="434"/>
      <c r="BN17" s="413"/>
      <c r="BO17" s="413"/>
      <c r="BP17" s="13"/>
      <c r="BQ17" s="29"/>
      <c r="BR17" s="13"/>
    </row>
    <row r="18" spans="1:70" ht="7.5" customHeight="1">
      <c r="A18" s="16"/>
      <c r="B18" s="448" t="s">
        <v>92</v>
      </c>
      <c r="C18" s="449"/>
      <c r="D18" s="449"/>
      <c r="E18" s="449"/>
      <c r="F18" s="449"/>
      <c r="G18" s="449" t="s">
        <v>62</v>
      </c>
      <c r="H18" s="449"/>
      <c r="I18" s="449"/>
      <c r="J18" s="449"/>
      <c r="K18" s="449"/>
      <c r="L18" s="449"/>
      <c r="M18" s="449" t="s">
        <v>63</v>
      </c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50"/>
      <c r="Y18" s="29"/>
      <c r="Z18" s="19"/>
      <c r="AA18" s="15"/>
      <c r="AB18" s="15"/>
      <c r="AC18" s="172"/>
      <c r="AD18" s="172"/>
      <c r="AE18" s="172"/>
      <c r="AF18" s="172"/>
      <c r="AG18" s="172"/>
      <c r="AH18" s="172"/>
      <c r="AI18" s="172"/>
      <c r="AJ18" s="172"/>
      <c r="AK18" s="435"/>
      <c r="AL18" s="435"/>
      <c r="AM18" s="13"/>
      <c r="AN18" s="228"/>
      <c r="AO18" s="228"/>
      <c r="AP18" s="436"/>
      <c r="AQ18" s="436"/>
      <c r="AR18" s="15"/>
      <c r="AS18" s="13"/>
      <c r="AT18" s="228"/>
      <c r="AU18" s="228"/>
      <c r="AV18" s="13"/>
      <c r="AW18" s="434"/>
      <c r="AX18" s="413"/>
      <c r="AY18" s="413"/>
      <c r="AZ18" s="13"/>
      <c r="BA18" s="434"/>
      <c r="BB18" s="413"/>
      <c r="BC18" s="413"/>
      <c r="BD18" s="13"/>
      <c r="BE18" s="434"/>
      <c r="BF18" s="413"/>
      <c r="BG18" s="413"/>
      <c r="BH18" s="13"/>
      <c r="BI18" s="434"/>
      <c r="BJ18" s="413"/>
      <c r="BK18" s="413"/>
      <c r="BL18" s="13"/>
      <c r="BM18" s="434"/>
      <c r="BN18" s="413"/>
      <c r="BO18" s="413"/>
      <c r="BP18" s="13"/>
      <c r="BQ18" s="29"/>
      <c r="BR18" s="13"/>
    </row>
    <row r="19" spans="1:70" ht="6.75" customHeight="1" thickBot="1">
      <c r="A19" s="19"/>
      <c r="B19" s="451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3"/>
      <c r="Y19" s="29"/>
      <c r="Z19" s="19"/>
      <c r="AA19" s="15"/>
      <c r="AB19" s="15"/>
      <c r="AC19" s="172" t="s">
        <v>79</v>
      </c>
      <c r="AD19" s="172"/>
      <c r="AE19" s="172"/>
      <c r="AF19" s="172"/>
      <c r="AG19" s="172"/>
      <c r="AH19" s="172"/>
      <c r="AI19" s="172"/>
      <c r="AJ19" s="172"/>
      <c r="AK19" s="435">
        <f>SUM(AN19:AQ20)+AT19</f>
        <v>20</v>
      </c>
      <c r="AL19" s="435"/>
      <c r="AM19" s="13"/>
      <c r="AN19" s="228">
        <f>IF(D36=0,"",(2*SUM(D28,D34))+Таблицы!M208+Таблицы!U208)</f>
        <v>20</v>
      </c>
      <c r="AO19" s="228"/>
      <c r="AP19" s="436"/>
      <c r="AQ19" s="436"/>
      <c r="AR19" s="13"/>
      <c r="AS19" s="13"/>
      <c r="AT19" s="287">
        <f>IF(Таблицы!M208=20,SUM(AX19*2,BB19*2/2,INT(BF19*2/3),INT(BJ19*2/4),INT(BN19*2/5)),SUM(AX19,INT(BB19/2),INT(BF19/3),INT(BJ19/4),INT(BN19/5)))</f>
        <v>0</v>
      </c>
      <c r="AU19" s="287"/>
      <c r="AV19" s="13"/>
      <c r="AW19" s="434"/>
      <c r="AX19" s="413"/>
      <c r="AY19" s="413"/>
      <c r="AZ19" s="13"/>
      <c r="BA19" s="434"/>
      <c r="BB19" s="413"/>
      <c r="BC19" s="413"/>
      <c r="BD19" s="13"/>
      <c r="BE19" s="434"/>
      <c r="BF19" s="413"/>
      <c r="BG19" s="413"/>
      <c r="BH19" s="13"/>
      <c r="BI19" s="434"/>
      <c r="BJ19" s="413"/>
      <c r="BK19" s="413"/>
      <c r="BL19" s="13"/>
      <c r="BM19" s="434"/>
      <c r="BN19" s="413"/>
      <c r="BO19" s="413"/>
      <c r="BP19" s="13"/>
      <c r="BQ19" s="29"/>
      <c r="BR19" s="13"/>
    </row>
    <row r="20" spans="1:70" ht="7.5" customHeight="1">
      <c r="A20" s="21"/>
      <c r="B20" s="287">
        <f>IF(OR(Таблицы!F218=16,Таблицы!F219=16),SUM(INDEX(Таблицы!F2:S10,Таблицы!K1,10),1),INDEX(Таблицы!F2:S10,Таблицы!K1,10))</f>
        <v>3</v>
      </c>
      <c r="C20" s="287"/>
      <c r="D20" s="287"/>
      <c r="E20" s="287"/>
      <c r="F20" s="287"/>
      <c r="G20" s="287">
        <f>ROUNDDOWN(3+(D30/2),0)+INDEX(Таблицы!R2:R10,Таблицы!K1,1)</f>
        <v>5</v>
      </c>
      <c r="H20" s="287"/>
      <c r="I20" s="287"/>
      <c r="J20" s="287"/>
      <c r="K20" s="287"/>
      <c r="L20" s="287"/>
      <c r="M20" s="287">
        <f>IF(D34=0,"",IF(OR(Таблицы!F218=16,Таблицы!F219=16,Таблицы!F218=17,Таблицы!F219=17),SUM(5+(2*D34),IF(OR(Таблицы!F218=16,Таблицы!F219=16),Таблицы!L46,0),IF(OR(Таблицы!F218=17,Таблицы!F219=17),Таблицы!L48,0)),5+(2*D34)))+INDEX(Таблицы!U2:U10,Таблицы!K1,1)</f>
        <v>15</v>
      </c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31"/>
      <c r="Z20" s="42"/>
      <c r="AA20" s="15"/>
      <c r="AB20" s="15"/>
      <c r="AC20" s="172"/>
      <c r="AD20" s="172"/>
      <c r="AE20" s="172"/>
      <c r="AF20" s="172"/>
      <c r="AG20" s="172"/>
      <c r="AH20" s="172"/>
      <c r="AI20" s="172"/>
      <c r="AJ20" s="172"/>
      <c r="AK20" s="435"/>
      <c r="AL20" s="435"/>
      <c r="AM20" s="13"/>
      <c r="AN20" s="228"/>
      <c r="AO20" s="228"/>
      <c r="AP20" s="436"/>
      <c r="AQ20" s="436"/>
      <c r="AR20" s="13"/>
      <c r="AS20" s="13"/>
      <c r="AT20" s="228"/>
      <c r="AU20" s="228"/>
      <c r="AV20" s="13"/>
      <c r="AW20" s="434"/>
      <c r="AX20" s="413"/>
      <c r="AY20" s="413"/>
      <c r="AZ20" s="13"/>
      <c r="BA20" s="434"/>
      <c r="BB20" s="413"/>
      <c r="BC20" s="413"/>
      <c r="BD20" s="13"/>
      <c r="BE20" s="434"/>
      <c r="BF20" s="413"/>
      <c r="BG20" s="413"/>
      <c r="BH20" s="13"/>
      <c r="BI20" s="434"/>
      <c r="BJ20" s="413"/>
      <c r="BK20" s="413"/>
      <c r="BL20" s="13"/>
      <c r="BM20" s="434"/>
      <c r="BN20" s="413"/>
      <c r="BO20" s="413"/>
      <c r="BP20" s="13"/>
      <c r="BQ20" s="29"/>
      <c r="BR20" s="13"/>
    </row>
    <row r="21" spans="1:70" ht="7.5" customHeight="1">
      <c r="A21" s="19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31"/>
      <c r="Z21" s="42"/>
      <c r="AA21" s="15"/>
      <c r="AB21" s="15"/>
      <c r="AC21" s="172" t="s">
        <v>80</v>
      </c>
      <c r="AD21" s="172"/>
      <c r="AE21" s="172"/>
      <c r="AF21" s="172"/>
      <c r="AG21" s="172"/>
      <c r="AH21" s="172"/>
      <c r="AI21" s="172"/>
      <c r="AJ21" s="172"/>
      <c r="AK21" s="435">
        <f>SUM(AN21:AQ22)+AT21</f>
        <v>15</v>
      </c>
      <c r="AL21" s="435"/>
      <c r="AM21" s="13"/>
      <c r="AN21" s="228">
        <f>IF(D36=0,"",(5+SUM(D28,D34)+Таблицы!M209+Таблицы!U209))</f>
        <v>15</v>
      </c>
      <c r="AO21" s="228"/>
      <c r="AP21" s="436"/>
      <c r="AQ21" s="436"/>
      <c r="AR21" s="13"/>
      <c r="AS21" s="13"/>
      <c r="AT21" s="287">
        <f>IF(Таблицы!M209=20,SUM(AX21*2,BB21*2/2,INT(BF21*2/3),INT(BJ21*2/4),INT(BN21*2/5)),SUM(AX21,INT(BB21/2),INT(BF21/3),INT(BJ21/4),INT(BN21/5)))</f>
        <v>0</v>
      </c>
      <c r="AU21" s="287"/>
      <c r="AV21" s="13"/>
      <c r="AW21" s="434"/>
      <c r="AX21" s="413"/>
      <c r="AY21" s="413"/>
      <c r="AZ21" s="13"/>
      <c r="BA21" s="434"/>
      <c r="BB21" s="413"/>
      <c r="BC21" s="413"/>
      <c r="BD21" s="13"/>
      <c r="BE21" s="434"/>
      <c r="BF21" s="413"/>
      <c r="BG21" s="413"/>
      <c r="BH21" s="13"/>
      <c r="BI21" s="434"/>
      <c r="BJ21" s="413"/>
      <c r="BK21" s="413"/>
      <c r="BL21" s="22"/>
      <c r="BM21" s="434"/>
      <c r="BN21" s="413"/>
      <c r="BO21" s="413"/>
      <c r="BP21" s="13"/>
      <c r="BQ21" s="29"/>
      <c r="BR21" s="13"/>
    </row>
    <row r="22" spans="1:70" ht="7.5" customHeight="1">
      <c r="A22" s="65"/>
      <c r="B22" s="46"/>
      <c r="C22" s="46"/>
      <c r="D22" s="46"/>
      <c r="E22" s="46"/>
      <c r="F22" s="68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66"/>
      <c r="Z22" s="19"/>
      <c r="AA22" s="15"/>
      <c r="AB22" s="15"/>
      <c r="AC22" s="172"/>
      <c r="AD22" s="172"/>
      <c r="AE22" s="172"/>
      <c r="AF22" s="172"/>
      <c r="AG22" s="172"/>
      <c r="AH22" s="172"/>
      <c r="AI22" s="172"/>
      <c r="AJ22" s="172"/>
      <c r="AK22" s="435"/>
      <c r="AL22" s="435"/>
      <c r="AM22" s="13"/>
      <c r="AN22" s="228"/>
      <c r="AO22" s="228"/>
      <c r="AP22" s="436"/>
      <c r="AQ22" s="436"/>
      <c r="AR22" s="13"/>
      <c r="AS22" s="13"/>
      <c r="AT22" s="228"/>
      <c r="AU22" s="228"/>
      <c r="AV22" s="13"/>
      <c r="AW22" s="434"/>
      <c r="AX22" s="413"/>
      <c r="AY22" s="413"/>
      <c r="AZ22" s="13"/>
      <c r="BA22" s="434"/>
      <c r="BB22" s="413"/>
      <c r="BC22" s="413"/>
      <c r="BD22" s="13"/>
      <c r="BE22" s="434"/>
      <c r="BF22" s="413"/>
      <c r="BG22" s="413"/>
      <c r="BH22" s="13"/>
      <c r="BI22" s="434"/>
      <c r="BJ22" s="413"/>
      <c r="BK22" s="413"/>
      <c r="BL22" s="22"/>
      <c r="BM22" s="434"/>
      <c r="BN22" s="413"/>
      <c r="BO22" s="413"/>
      <c r="BP22" s="13"/>
      <c r="BQ22" s="29"/>
      <c r="BR22" s="13"/>
    </row>
    <row r="23" spans="1:70" ht="7.5" customHeight="1" thickBot="1">
      <c r="A23" s="19"/>
      <c r="B23" s="13"/>
      <c r="C23" s="13"/>
      <c r="D23" s="13"/>
      <c r="E23" s="13"/>
      <c r="F23" s="3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29"/>
      <c r="Z23" s="19"/>
      <c r="AA23" s="15"/>
      <c r="AB23" s="15"/>
      <c r="AC23" s="172" t="s">
        <v>81</v>
      </c>
      <c r="AD23" s="172"/>
      <c r="AE23" s="172"/>
      <c r="AF23" s="172"/>
      <c r="AG23" s="172"/>
      <c r="AH23" s="172"/>
      <c r="AI23" s="172"/>
      <c r="AJ23" s="172"/>
      <c r="AK23" s="435">
        <f>SUM(AN23:AQ24)+AT23</f>
        <v>20</v>
      </c>
      <c r="AL23" s="435"/>
      <c r="AM23" s="13"/>
      <c r="AN23" s="228">
        <f>IF(D36=0,"",5+(3*D36)+Таблицы!M210+Таблицы!U210)</f>
        <v>20</v>
      </c>
      <c r="AO23" s="228"/>
      <c r="AP23" s="436"/>
      <c r="AQ23" s="436"/>
      <c r="AR23" s="13"/>
      <c r="AS23" s="13"/>
      <c r="AT23" s="287">
        <f>IF(Таблицы!M210=20,SUM(AX23*2,BB23*2/2,INT(BF23*2/3),INT(BJ23*2/4),INT(BN23*2/5)),SUM(AX23,INT(BB23/2),INT(BF23/3),INT(BJ23/4),INT(BN23/5)))</f>
        <v>0</v>
      </c>
      <c r="AU23" s="287"/>
      <c r="AV23" s="13"/>
      <c r="AW23" s="434"/>
      <c r="AX23" s="413"/>
      <c r="AY23" s="413"/>
      <c r="AZ23" s="13"/>
      <c r="BA23" s="434"/>
      <c r="BB23" s="413"/>
      <c r="BC23" s="413"/>
      <c r="BD23" s="13"/>
      <c r="BE23" s="434"/>
      <c r="BF23" s="413"/>
      <c r="BG23" s="413"/>
      <c r="BH23" s="13"/>
      <c r="BI23" s="434"/>
      <c r="BJ23" s="413"/>
      <c r="BK23" s="413"/>
      <c r="BL23" s="22"/>
      <c r="BM23" s="434"/>
      <c r="BN23" s="413"/>
      <c r="BO23" s="413"/>
      <c r="BP23" s="13"/>
      <c r="BQ23" s="29"/>
      <c r="BR23" s="13"/>
    </row>
    <row r="24" spans="1:70" ht="7.5" customHeight="1">
      <c r="A24" s="19"/>
      <c r="B24" s="488" t="s">
        <v>94</v>
      </c>
      <c r="C24" s="489"/>
      <c r="D24" s="424" t="s">
        <v>222</v>
      </c>
      <c r="E24" s="424"/>
      <c r="F24" s="425"/>
      <c r="G24" s="13"/>
      <c r="H24" s="415" t="s">
        <v>95</v>
      </c>
      <c r="I24" s="442"/>
      <c r="J24" s="442"/>
      <c r="K24" s="455" t="s">
        <v>74</v>
      </c>
      <c r="L24" s="455"/>
      <c r="M24" s="455"/>
      <c r="N24" s="458" t="s">
        <v>8</v>
      </c>
      <c r="O24" s="458"/>
      <c r="P24" s="459"/>
      <c r="Q24" s="13"/>
      <c r="R24" s="448" t="s">
        <v>272</v>
      </c>
      <c r="S24" s="449"/>
      <c r="T24" s="449"/>
      <c r="U24" s="449"/>
      <c r="V24" s="449"/>
      <c r="W24" s="449"/>
      <c r="X24" s="450"/>
      <c r="Y24" s="29"/>
      <c r="Z24" s="19"/>
      <c r="AA24" s="15"/>
      <c r="AB24" s="15"/>
      <c r="AC24" s="172"/>
      <c r="AD24" s="172"/>
      <c r="AE24" s="172"/>
      <c r="AF24" s="172"/>
      <c r="AG24" s="172"/>
      <c r="AH24" s="172"/>
      <c r="AI24" s="172"/>
      <c r="AJ24" s="172"/>
      <c r="AK24" s="435"/>
      <c r="AL24" s="435"/>
      <c r="AM24" s="13"/>
      <c r="AN24" s="228"/>
      <c r="AO24" s="228"/>
      <c r="AP24" s="436"/>
      <c r="AQ24" s="436"/>
      <c r="AR24" s="13"/>
      <c r="AS24" s="13"/>
      <c r="AT24" s="228"/>
      <c r="AU24" s="228"/>
      <c r="AV24" s="13"/>
      <c r="AW24" s="434"/>
      <c r="AX24" s="413"/>
      <c r="AY24" s="413"/>
      <c r="AZ24" s="13"/>
      <c r="BA24" s="434"/>
      <c r="BB24" s="413"/>
      <c r="BC24" s="413"/>
      <c r="BD24" s="13"/>
      <c r="BE24" s="434"/>
      <c r="BF24" s="413"/>
      <c r="BG24" s="413"/>
      <c r="BH24" s="13"/>
      <c r="BI24" s="434"/>
      <c r="BJ24" s="413"/>
      <c r="BK24" s="413"/>
      <c r="BL24" s="22"/>
      <c r="BM24" s="434"/>
      <c r="BN24" s="413"/>
      <c r="BO24" s="413"/>
      <c r="BP24" s="13"/>
      <c r="BQ24" s="29"/>
      <c r="BR24" s="13"/>
    </row>
    <row r="25" spans="1:70" ht="7.5" customHeight="1" thickBot="1">
      <c r="A25" s="21"/>
      <c r="B25" s="490"/>
      <c r="C25" s="491"/>
      <c r="D25" s="427"/>
      <c r="E25" s="427"/>
      <c r="F25" s="428"/>
      <c r="G25" s="13"/>
      <c r="H25" s="443"/>
      <c r="I25" s="444"/>
      <c r="J25" s="444"/>
      <c r="K25" s="457"/>
      <c r="L25" s="457"/>
      <c r="M25" s="457"/>
      <c r="N25" s="460"/>
      <c r="O25" s="460"/>
      <c r="P25" s="461"/>
      <c r="Q25" s="13"/>
      <c r="R25" s="451"/>
      <c r="S25" s="452"/>
      <c r="T25" s="452"/>
      <c r="U25" s="452"/>
      <c r="V25" s="452"/>
      <c r="W25" s="452"/>
      <c r="X25" s="453"/>
      <c r="Y25" s="29"/>
      <c r="Z25" s="19"/>
      <c r="AA25" s="15"/>
      <c r="AB25" s="15"/>
      <c r="AC25" s="172" t="s">
        <v>82</v>
      </c>
      <c r="AD25" s="172"/>
      <c r="AE25" s="172"/>
      <c r="AF25" s="172"/>
      <c r="AG25" s="172"/>
      <c r="AH25" s="172"/>
      <c r="AI25" s="172"/>
      <c r="AJ25" s="172"/>
      <c r="AK25" s="435">
        <f>SUM(AN25:AQ26)+AT25</f>
        <v>20</v>
      </c>
      <c r="AL25" s="435"/>
      <c r="AM25" s="13"/>
      <c r="AN25" s="228">
        <f>IF(D36=0,"",10+(SUM(D28,D36)+Таблицы!M211+Таблицы!U211))</f>
        <v>20</v>
      </c>
      <c r="AO25" s="228"/>
      <c r="AP25" s="436"/>
      <c r="AQ25" s="436"/>
      <c r="AR25" s="13"/>
      <c r="AS25" s="13"/>
      <c r="AT25" s="287">
        <f>IF(Таблицы!M211=20,SUM(AX25*2,BB25*2/2,INT(BF25*2/3),INT(BJ25*2/4),INT(BN25*2/5)),SUM(AX25,INT(BB25/2),INT(BF25/3),INT(BJ25/4),INT(BN25/5)))</f>
        <v>0</v>
      </c>
      <c r="AU25" s="287"/>
      <c r="AV25" s="13"/>
      <c r="AW25" s="434"/>
      <c r="AX25" s="413"/>
      <c r="AY25" s="413"/>
      <c r="AZ25" s="13"/>
      <c r="BA25" s="434"/>
      <c r="BB25" s="413"/>
      <c r="BC25" s="413"/>
      <c r="BD25" s="13"/>
      <c r="BE25" s="434"/>
      <c r="BF25" s="413"/>
      <c r="BG25" s="413"/>
      <c r="BH25" s="13"/>
      <c r="BI25" s="434"/>
      <c r="BJ25" s="413"/>
      <c r="BK25" s="413"/>
      <c r="BL25" s="22"/>
      <c r="BM25" s="434"/>
      <c r="BN25" s="413"/>
      <c r="BO25" s="413"/>
      <c r="BP25" s="13"/>
      <c r="BQ25" s="29"/>
      <c r="BR25" s="13"/>
    </row>
    <row r="26" spans="1:70" ht="7.5" customHeight="1">
      <c r="A26" s="16"/>
      <c r="B26" s="492" t="s">
        <v>258</v>
      </c>
      <c r="C26" s="385"/>
      <c r="D26" s="287">
        <f>SUM(K26+N26,IF(OR(Таблицы!F218=3,Таблицы!F219=3),Таблицы!L35,0),IF(OR(Таблицы!F218=17,Таблицы!F219=17),Таблицы!L49,0))</f>
        <v>5</v>
      </c>
      <c r="E26" s="287"/>
      <c r="F26" s="465"/>
      <c r="G26" s="13"/>
      <c r="H26" s="445" t="str">
        <f>INDEX(Таблицы!F2:L11,Таблицы!K1,1)</f>
        <v>1/10</v>
      </c>
      <c r="I26" s="446"/>
      <c r="J26" s="447"/>
      <c r="K26" s="287">
        <f>INDEX(Таблицы!AF2:AL10,Таблицы!K1,1)</f>
        <v>5</v>
      </c>
      <c r="L26" s="287"/>
      <c r="M26" s="287"/>
      <c r="N26" s="254"/>
      <c r="O26" s="254"/>
      <c r="P26" s="254"/>
      <c r="Q26" s="13"/>
      <c r="R26" s="414"/>
      <c r="S26" s="414"/>
      <c r="T26" s="414"/>
      <c r="U26" s="414"/>
      <c r="V26" s="414"/>
      <c r="W26" s="414"/>
      <c r="X26" s="414"/>
      <c r="Y26" s="29"/>
      <c r="Z26" s="19"/>
      <c r="AA26" s="15"/>
      <c r="AB26" s="15"/>
      <c r="AC26" s="172"/>
      <c r="AD26" s="172"/>
      <c r="AE26" s="172"/>
      <c r="AF26" s="172"/>
      <c r="AG26" s="172"/>
      <c r="AH26" s="172"/>
      <c r="AI26" s="172"/>
      <c r="AJ26" s="172"/>
      <c r="AK26" s="435"/>
      <c r="AL26" s="435"/>
      <c r="AM26" s="13"/>
      <c r="AN26" s="228"/>
      <c r="AO26" s="228"/>
      <c r="AP26" s="436"/>
      <c r="AQ26" s="436"/>
      <c r="AR26" s="13"/>
      <c r="AS26" s="13"/>
      <c r="AT26" s="228"/>
      <c r="AU26" s="228"/>
      <c r="AV26" s="13"/>
      <c r="AW26" s="434"/>
      <c r="AX26" s="413"/>
      <c r="AY26" s="413"/>
      <c r="AZ26" s="13"/>
      <c r="BA26" s="434"/>
      <c r="BB26" s="413"/>
      <c r="BC26" s="413"/>
      <c r="BD26" s="13"/>
      <c r="BE26" s="434"/>
      <c r="BF26" s="413"/>
      <c r="BG26" s="413"/>
      <c r="BH26" s="13"/>
      <c r="BI26" s="434"/>
      <c r="BJ26" s="413"/>
      <c r="BK26" s="413"/>
      <c r="BL26" s="22"/>
      <c r="BM26" s="434"/>
      <c r="BN26" s="413"/>
      <c r="BO26" s="413"/>
      <c r="BP26" s="13"/>
      <c r="BQ26" s="29"/>
      <c r="BR26" s="13"/>
    </row>
    <row r="27" spans="1:70" ht="7.5" customHeight="1" thickBot="1">
      <c r="A27" s="16"/>
      <c r="B27" s="487"/>
      <c r="C27" s="347"/>
      <c r="D27" s="228"/>
      <c r="E27" s="228"/>
      <c r="F27" s="439"/>
      <c r="G27" s="13"/>
      <c r="H27" s="357"/>
      <c r="I27" s="358"/>
      <c r="J27" s="359"/>
      <c r="K27" s="228"/>
      <c r="L27" s="228"/>
      <c r="M27" s="228"/>
      <c r="N27" s="227"/>
      <c r="O27" s="227"/>
      <c r="P27" s="227"/>
      <c r="Q27" s="13"/>
      <c r="R27" s="467"/>
      <c r="S27" s="467"/>
      <c r="T27" s="467"/>
      <c r="U27" s="467"/>
      <c r="V27" s="467"/>
      <c r="W27" s="467"/>
      <c r="X27" s="467"/>
      <c r="Y27" s="29"/>
      <c r="Z27" s="19"/>
      <c r="AA27" s="15"/>
      <c r="AB27" s="15"/>
      <c r="AC27" s="172" t="s">
        <v>83</v>
      </c>
      <c r="AD27" s="172"/>
      <c r="AE27" s="172"/>
      <c r="AF27" s="172"/>
      <c r="AG27" s="172"/>
      <c r="AH27" s="172"/>
      <c r="AI27" s="172"/>
      <c r="AJ27" s="172"/>
      <c r="AK27" s="435">
        <f>SUM(AN27:AQ28)+AT27</f>
        <v>15</v>
      </c>
      <c r="AL27" s="435"/>
      <c r="AM27" s="13"/>
      <c r="AN27" s="228">
        <f>IF(D36=0,"",(D36*3)+Таблицы!M212+Таблицы!U212)</f>
        <v>15</v>
      </c>
      <c r="AO27" s="228"/>
      <c r="AP27" s="436"/>
      <c r="AQ27" s="436"/>
      <c r="AR27" s="13"/>
      <c r="AS27" s="13"/>
      <c r="AT27" s="287">
        <f>IF(Таблицы!M212=20,SUM(AX27*2,BB27*2/2,INT(BF27*2/3),INT(BJ27*2/4),INT(BN27*2/5)),SUM(AX27,INT(BB27/2),INT(BF27/3),INT(BJ27/4),INT(BN27/5)))</f>
        <v>0</v>
      </c>
      <c r="AU27" s="287"/>
      <c r="AV27" s="13"/>
      <c r="AW27" s="434"/>
      <c r="AX27" s="413"/>
      <c r="AY27" s="413"/>
      <c r="AZ27" s="13"/>
      <c r="BA27" s="434"/>
      <c r="BB27" s="413"/>
      <c r="BC27" s="413"/>
      <c r="BD27" s="13"/>
      <c r="BE27" s="434"/>
      <c r="BF27" s="413"/>
      <c r="BG27" s="413"/>
      <c r="BH27" s="13"/>
      <c r="BI27" s="434"/>
      <c r="BJ27" s="413"/>
      <c r="BK27" s="413"/>
      <c r="BL27" s="22"/>
      <c r="BM27" s="434"/>
      <c r="BN27" s="413"/>
      <c r="BO27" s="413"/>
      <c r="BP27" s="13"/>
      <c r="BQ27" s="29"/>
      <c r="BR27" s="13"/>
    </row>
    <row r="28" spans="1:70" ht="7.5" customHeight="1">
      <c r="A28" s="16"/>
      <c r="B28" s="486" t="s">
        <v>115</v>
      </c>
      <c r="C28" s="346"/>
      <c r="D28" s="228">
        <f>SUM(K28+N28,IF(OR(Таблицы!F218=20,Таблицы!F219=20),Таблицы!L57,0),IF(OR(Таблицы!F218=17,Таблицы!F219=17),Таблицы!L50,0))</f>
        <v>5</v>
      </c>
      <c r="E28" s="228"/>
      <c r="F28" s="439"/>
      <c r="G28" s="13"/>
      <c r="H28" s="354" t="str">
        <f>INDEX(Таблицы!F2:L11,Таблицы!K1,2)</f>
        <v>1/10</v>
      </c>
      <c r="I28" s="355"/>
      <c r="J28" s="356"/>
      <c r="K28" s="287">
        <f>INDEX(Таблицы!AF2:AL10,Таблицы!K1,2)</f>
        <v>5</v>
      </c>
      <c r="L28" s="287"/>
      <c r="M28" s="287"/>
      <c r="N28" s="227"/>
      <c r="O28" s="227"/>
      <c r="P28" s="227"/>
      <c r="Q28" s="13"/>
      <c r="R28" s="448" t="s">
        <v>271</v>
      </c>
      <c r="S28" s="449"/>
      <c r="T28" s="449"/>
      <c r="U28" s="449"/>
      <c r="V28" s="449"/>
      <c r="W28" s="449"/>
      <c r="X28" s="450"/>
      <c r="Y28" s="29"/>
      <c r="Z28" s="19"/>
      <c r="AA28" s="15"/>
      <c r="AB28" s="15"/>
      <c r="AC28" s="172"/>
      <c r="AD28" s="172"/>
      <c r="AE28" s="172"/>
      <c r="AF28" s="172"/>
      <c r="AG28" s="172"/>
      <c r="AH28" s="172"/>
      <c r="AI28" s="172"/>
      <c r="AJ28" s="172"/>
      <c r="AK28" s="435"/>
      <c r="AL28" s="435"/>
      <c r="AM28" s="13"/>
      <c r="AN28" s="228"/>
      <c r="AO28" s="228"/>
      <c r="AP28" s="436"/>
      <c r="AQ28" s="436"/>
      <c r="AR28" s="13"/>
      <c r="AS28" s="13"/>
      <c r="AT28" s="228"/>
      <c r="AU28" s="228"/>
      <c r="AV28" s="13"/>
      <c r="AW28" s="434"/>
      <c r="AX28" s="413"/>
      <c r="AY28" s="413"/>
      <c r="AZ28" s="13"/>
      <c r="BA28" s="434"/>
      <c r="BB28" s="413"/>
      <c r="BC28" s="413"/>
      <c r="BD28" s="13"/>
      <c r="BE28" s="434"/>
      <c r="BF28" s="413"/>
      <c r="BG28" s="413"/>
      <c r="BH28" s="13"/>
      <c r="BI28" s="434"/>
      <c r="BJ28" s="413"/>
      <c r="BK28" s="413"/>
      <c r="BL28" s="22"/>
      <c r="BM28" s="434"/>
      <c r="BN28" s="413"/>
      <c r="BO28" s="413"/>
      <c r="BP28" s="13"/>
      <c r="BQ28" s="29"/>
      <c r="BR28" s="13"/>
    </row>
    <row r="29" spans="1:70" ht="7.5" customHeight="1" thickBot="1">
      <c r="A29" s="16"/>
      <c r="B29" s="487"/>
      <c r="C29" s="347"/>
      <c r="D29" s="228"/>
      <c r="E29" s="228"/>
      <c r="F29" s="439"/>
      <c r="G29" s="13"/>
      <c r="H29" s="357"/>
      <c r="I29" s="358"/>
      <c r="J29" s="359"/>
      <c r="K29" s="228"/>
      <c r="L29" s="228"/>
      <c r="M29" s="228"/>
      <c r="N29" s="227"/>
      <c r="O29" s="227"/>
      <c r="P29" s="227"/>
      <c r="Q29" s="13"/>
      <c r="R29" s="451"/>
      <c r="S29" s="452"/>
      <c r="T29" s="452"/>
      <c r="U29" s="452"/>
      <c r="V29" s="452"/>
      <c r="W29" s="452"/>
      <c r="X29" s="453"/>
      <c r="Y29" s="29"/>
      <c r="Z29" s="19"/>
      <c r="AA29" s="15"/>
      <c r="AB29" s="15"/>
      <c r="AC29" s="172" t="s">
        <v>84</v>
      </c>
      <c r="AD29" s="172"/>
      <c r="AE29" s="172"/>
      <c r="AF29" s="172"/>
      <c r="AG29" s="172"/>
      <c r="AH29" s="172"/>
      <c r="AI29" s="172"/>
      <c r="AJ29" s="172"/>
      <c r="AK29" s="435">
        <f>SUM(AN29:AQ30)+AT29</f>
        <v>20</v>
      </c>
      <c r="AL29" s="435"/>
      <c r="AM29" s="13"/>
      <c r="AN29" s="228">
        <f>IF(D36=0,"",10+(SUM(D28,D36)+Таблицы!M213+Таблицы!U213))</f>
        <v>20</v>
      </c>
      <c r="AO29" s="228"/>
      <c r="AP29" s="436"/>
      <c r="AQ29" s="436"/>
      <c r="AR29" s="13"/>
      <c r="AS29" s="13"/>
      <c r="AT29" s="287">
        <f>IF(Таблицы!M213=20,SUM(AX29*2,BB29*2/2,INT(BF29*2/3),INT(BJ29*2/4),INT(BN29*2/5)),SUM(AX29,INT(BB29/2),INT(BF29/3),INT(BJ29/4),INT(BN29/5)))</f>
        <v>0</v>
      </c>
      <c r="AU29" s="287"/>
      <c r="AV29" s="13"/>
      <c r="AW29" s="434"/>
      <c r="AX29" s="413"/>
      <c r="AY29" s="413"/>
      <c r="AZ29" s="13"/>
      <c r="BA29" s="434"/>
      <c r="BB29" s="413"/>
      <c r="BC29" s="413"/>
      <c r="BD29" s="13"/>
      <c r="BE29" s="434"/>
      <c r="BF29" s="413"/>
      <c r="BG29" s="413"/>
      <c r="BH29" s="13"/>
      <c r="BI29" s="434"/>
      <c r="BJ29" s="413"/>
      <c r="BK29" s="413"/>
      <c r="BL29" s="22"/>
      <c r="BM29" s="434"/>
      <c r="BN29" s="413"/>
      <c r="BO29" s="413"/>
      <c r="BP29" s="13"/>
      <c r="BQ29" s="29"/>
      <c r="BR29" s="13"/>
    </row>
    <row r="30" spans="1:70" ht="7.5" customHeight="1">
      <c r="A30" s="16"/>
      <c r="B30" s="486" t="s">
        <v>116</v>
      </c>
      <c r="C30" s="346"/>
      <c r="D30" s="228">
        <f>SUM(K30+N30,IF(OR(Таблицы!F218=17,Таблицы!F219=17),Таблицы!L51,0))</f>
        <v>5</v>
      </c>
      <c r="E30" s="228"/>
      <c r="F30" s="439"/>
      <c r="G30" s="13"/>
      <c r="H30" s="354" t="str">
        <f>INDEX(Таблицы!F2:L11,Таблицы!K1,3)</f>
        <v>1/10</v>
      </c>
      <c r="I30" s="355"/>
      <c r="J30" s="356"/>
      <c r="K30" s="287">
        <f>INDEX(Таблицы!AF2:AL10,Таблицы!K1,3)</f>
        <v>5</v>
      </c>
      <c r="L30" s="287"/>
      <c r="M30" s="287"/>
      <c r="N30" s="227"/>
      <c r="O30" s="227"/>
      <c r="P30" s="227"/>
      <c r="Q30" s="13"/>
      <c r="R30" s="254"/>
      <c r="S30" s="254"/>
      <c r="T30" s="254"/>
      <c r="U30" s="254"/>
      <c r="V30" s="254"/>
      <c r="W30" s="254"/>
      <c r="X30" s="254"/>
      <c r="Y30" s="29"/>
      <c r="Z30" s="19"/>
      <c r="AA30" s="15"/>
      <c r="AB30" s="15"/>
      <c r="AC30" s="172"/>
      <c r="AD30" s="172"/>
      <c r="AE30" s="172"/>
      <c r="AF30" s="172"/>
      <c r="AG30" s="172"/>
      <c r="AH30" s="172"/>
      <c r="AI30" s="172"/>
      <c r="AJ30" s="172"/>
      <c r="AK30" s="435"/>
      <c r="AL30" s="435"/>
      <c r="AM30" s="13"/>
      <c r="AN30" s="228"/>
      <c r="AO30" s="228"/>
      <c r="AP30" s="436"/>
      <c r="AQ30" s="436"/>
      <c r="AR30" s="13"/>
      <c r="AS30" s="13"/>
      <c r="AT30" s="228"/>
      <c r="AU30" s="228"/>
      <c r="AV30" s="13"/>
      <c r="AW30" s="434"/>
      <c r="AX30" s="413"/>
      <c r="AY30" s="413"/>
      <c r="AZ30" s="13"/>
      <c r="BA30" s="434"/>
      <c r="BB30" s="413"/>
      <c r="BC30" s="413"/>
      <c r="BD30" s="13"/>
      <c r="BE30" s="434"/>
      <c r="BF30" s="413"/>
      <c r="BG30" s="413"/>
      <c r="BH30" s="13"/>
      <c r="BI30" s="434"/>
      <c r="BJ30" s="413"/>
      <c r="BK30" s="413"/>
      <c r="BL30" s="22"/>
      <c r="BM30" s="434"/>
      <c r="BN30" s="413"/>
      <c r="BO30" s="413"/>
      <c r="BP30" s="13"/>
      <c r="BQ30" s="29"/>
      <c r="BR30" s="13"/>
    </row>
    <row r="31" spans="1:70" ht="7.5" customHeight="1" thickBot="1">
      <c r="A31" s="16"/>
      <c r="B31" s="487"/>
      <c r="C31" s="347"/>
      <c r="D31" s="228"/>
      <c r="E31" s="228"/>
      <c r="F31" s="439"/>
      <c r="G31" s="13"/>
      <c r="H31" s="357"/>
      <c r="I31" s="358"/>
      <c r="J31" s="359"/>
      <c r="K31" s="228"/>
      <c r="L31" s="228"/>
      <c r="M31" s="228"/>
      <c r="N31" s="227"/>
      <c r="O31" s="227"/>
      <c r="P31" s="227"/>
      <c r="Q31" s="13"/>
      <c r="R31" s="468"/>
      <c r="S31" s="468"/>
      <c r="T31" s="468"/>
      <c r="U31" s="468"/>
      <c r="V31" s="468"/>
      <c r="W31" s="468"/>
      <c r="X31" s="468"/>
      <c r="Y31" s="29"/>
      <c r="Z31" s="19"/>
      <c r="AA31" s="15"/>
      <c r="AB31" s="15"/>
      <c r="AC31" s="172" t="s">
        <v>85</v>
      </c>
      <c r="AD31" s="172"/>
      <c r="AE31" s="172"/>
      <c r="AF31" s="172"/>
      <c r="AG31" s="172"/>
      <c r="AH31" s="172"/>
      <c r="AI31" s="172"/>
      <c r="AJ31" s="172"/>
      <c r="AK31" s="435">
        <f>SUM(AN31:AQ32)+AT31</f>
        <v>20</v>
      </c>
      <c r="AL31" s="435"/>
      <c r="AM31" s="13"/>
      <c r="AN31" s="228">
        <f>IF(D36=0,"",(D34*4)+Таблицы!M214+Таблицы!U214)</f>
        <v>20</v>
      </c>
      <c r="AO31" s="228"/>
      <c r="AP31" s="436"/>
      <c r="AQ31" s="436"/>
      <c r="AR31" s="13"/>
      <c r="AS31" s="13"/>
      <c r="AT31" s="287">
        <f>IF(Таблицы!M214=20,SUM(AX31*2,BB31*2/2,INT(BF31*2/3),INT(BJ31*2/4),INT(BN31*2/5)),SUM(AX31,INT(BB31/2),INT(BF31/3),INT(BJ31/4),INT(BN31/5)))</f>
        <v>0</v>
      </c>
      <c r="AU31" s="287"/>
      <c r="AV31" s="13"/>
      <c r="AW31" s="434"/>
      <c r="AX31" s="413"/>
      <c r="AY31" s="413"/>
      <c r="AZ31" s="13"/>
      <c r="BA31" s="434"/>
      <c r="BB31" s="413"/>
      <c r="BC31" s="413"/>
      <c r="BD31" s="13"/>
      <c r="BE31" s="434"/>
      <c r="BF31" s="413"/>
      <c r="BG31" s="413"/>
      <c r="BH31" s="13"/>
      <c r="BI31" s="434"/>
      <c r="BJ31" s="413"/>
      <c r="BK31" s="413"/>
      <c r="BL31" s="22"/>
      <c r="BM31" s="434"/>
      <c r="BN31" s="413"/>
      <c r="BO31" s="413"/>
      <c r="BP31" s="13"/>
      <c r="BQ31" s="29"/>
      <c r="BR31" s="13"/>
    </row>
    <row r="32" spans="1:70" ht="7.5" customHeight="1">
      <c r="A32" s="16"/>
      <c r="B32" s="486" t="s">
        <v>117</v>
      </c>
      <c r="C32" s="346"/>
      <c r="D32" s="228">
        <f>SUM(K32+N32,IF(OR(Таблицы!F218=17,Таблицы!F219=17),Таблицы!L52,0))</f>
        <v>5</v>
      </c>
      <c r="E32" s="228"/>
      <c r="F32" s="439"/>
      <c r="G32" s="13"/>
      <c r="H32" s="354" t="str">
        <f>INDEX(Таблицы!F2:L11,Таблицы!K1,4)</f>
        <v>1/10</v>
      </c>
      <c r="I32" s="355"/>
      <c r="J32" s="356"/>
      <c r="K32" s="287">
        <f>INDEX(Таблицы!AF2:AL10,Таблицы!K1,4)</f>
        <v>5</v>
      </c>
      <c r="L32" s="287"/>
      <c r="M32" s="287"/>
      <c r="N32" s="227"/>
      <c r="O32" s="227"/>
      <c r="P32" s="227"/>
      <c r="Q32" s="13"/>
      <c r="R32" s="448" t="s">
        <v>270</v>
      </c>
      <c r="S32" s="449"/>
      <c r="T32" s="449"/>
      <c r="U32" s="449"/>
      <c r="V32" s="449"/>
      <c r="W32" s="449"/>
      <c r="X32" s="450"/>
      <c r="Y32" s="29"/>
      <c r="Z32" s="19"/>
      <c r="AA32" s="15"/>
      <c r="AB32" s="15"/>
      <c r="AC32" s="172"/>
      <c r="AD32" s="172"/>
      <c r="AE32" s="172"/>
      <c r="AF32" s="172"/>
      <c r="AG32" s="172"/>
      <c r="AH32" s="172"/>
      <c r="AI32" s="172"/>
      <c r="AJ32" s="172"/>
      <c r="AK32" s="435"/>
      <c r="AL32" s="435"/>
      <c r="AM32" s="13"/>
      <c r="AN32" s="228"/>
      <c r="AO32" s="228"/>
      <c r="AP32" s="436"/>
      <c r="AQ32" s="436"/>
      <c r="AR32" s="13"/>
      <c r="AS32" s="13"/>
      <c r="AT32" s="228"/>
      <c r="AU32" s="228"/>
      <c r="AV32" s="13"/>
      <c r="AW32" s="434"/>
      <c r="AX32" s="413"/>
      <c r="AY32" s="413"/>
      <c r="AZ32" s="13"/>
      <c r="BA32" s="434"/>
      <c r="BB32" s="413"/>
      <c r="BC32" s="413"/>
      <c r="BD32" s="13"/>
      <c r="BE32" s="434"/>
      <c r="BF32" s="413"/>
      <c r="BG32" s="413"/>
      <c r="BH32" s="13"/>
      <c r="BI32" s="434"/>
      <c r="BJ32" s="413"/>
      <c r="BK32" s="413"/>
      <c r="BL32" s="22"/>
      <c r="BM32" s="434"/>
      <c r="BN32" s="413"/>
      <c r="BO32" s="413"/>
      <c r="BP32" s="13"/>
      <c r="BQ32" s="29"/>
      <c r="BR32" s="13"/>
    </row>
    <row r="33" spans="1:70" ht="7.5" customHeight="1" thickBot="1">
      <c r="A33" s="16"/>
      <c r="B33" s="487"/>
      <c r="C33" s="347"/>
      <c r="D33" s="228"/>
      <c r="E33" s="228"/>
      <c r="F33" s="439"/>
      <c r="G33" s="13"/>
      <c r="H33" s="357"/>
      <c r="I33" s="358"/>
      <c r="J33" s="359"/>
      <c r="K33" s="228"/>
      <c r="L33" s="228"/>
      <c r="M33" s="228"/>
      <c r="N33" s="227"/>
      <c r="O33" s="227"/>
      <c r="P33" s="227"/>
      <c r="Q33" s="13"/>
      <c r="R33" s="451"/>
      <c r="S33" s="452"/>
      <c r="T33" s="452"/>
      <c r="U33" s="452"/>
      <c r="V33" s="452"/>
      <c r="W33" s="452"/>
      <c r="X33" s="453"/>
      <c r="Y33" s="29"/>
      <c r="Z33" s="19"/>
      <c r="AA33" s="15"/>
      <c r="AB33" s="15"/>
      <c r="AC33" s="172" t="s">
        <v>86</v>
      </c>
      <c r="AD33" s="172"/>
      <c r="AE33" s="172"/>
      <c r="AF33" s="172"/>
      <c r="AG33" s="172"/>
      <c r="AH33" s="172"/>
      <c r="AI33" s="172"/>
      <c r="AJ33" s="172"/>
      <c r="AK33" s="435">
        <f>SUM(AN33:AQ34)+AT33</f>
        <v>15</v>
      </c>
      <c r="AL33" s="435"/>
      <c r="AM33" s="13"/>
      <c r="AN33" s="228">
        <f>IF(D36=0,"",(D34*3)+Таблицы!M215+Таблицы!U215)</f>
        <v>15</v>
      </c>
      <c r="AO33" s="228"/>
      <c r="AP33" s="436"/>
      <c r="AQ33" s="436"/>
      <c r="AR33" s="13"/>
      <c r="AS33" s="13"/>
      <c r="AT33" s="287">
        <f>IF(Таблицы!M215=20,SUM(AX33*2,BB33*2/2,INT(BF33*2/3),INT(BJ33*2/4),INT(BN33*2/5)),SUM(AX33,INT(BB33/2),INT(BF33/3),INT(BJ33/4),INT(BN33/5)))</f>
        <v>0</v>
      </c>
      <c r="AU33" s="287"/>
      <c r="AV33" s="13"/>
      <c r="AW33" s="434"/>
      <c r="AX33" s="413"/>
      <c r="AY33" s="413"/>
      <c r="AZ33" s="13"/>
      <c r="BA33" s="434"/>
      <c r="BB33" s="413"/>
      <c r="BC33" s="413"/>
      <c r="BD33" s="13"/>
      <c r="BE33" s="434"/>
      <c r="BF33" s="413"/>
      <c r="BG33" s="413"/>
      <c r="BH33" s="13"/>
      <c r="BI33" s="434"/>
      <c r="BJ33" s="413"/>
      <c r="BK33" s="413"/>
      <c r="BL33" s="22"/>
      <c r="BM33" s="434"/>
      <c r="BN33" s="413"/>
      <c r="BO33" s="413"/>
      <c r="BP33" s="13"/>
      <c r="BQ33" s="29"/>
      <c r="BR33" s="13"/>
    </row>
    <row r="34" spans="1:70" ht="7.5" customHeight="1">
      <c r="A34" s="16"/>
      <c r="B34" s="486" t="s">
        <v>118</v>
      </c>
      <c r="C34" s="346"/>
      <c r="D34" s="228">
        <f>SUM(K34+N34,IF(OR(Таблицы!F218=24,Таблицы!F219=24),Таблицы!L59,0),IF(OR(Таблицы!F218=17,Таблицы!F219=17),Таблицы!L53,0))</f>
        <v>5</v>
      </c>
      <c r="E34" s="228"/>
      <c r="F34" s="439"/>
      <c r="G34" s="13"/>
      <c r="H34" s="354" t="str">
        <f>INDEX(Таблицы!F2:L11,Таблицы!K1,5)</f>
        <v>1/10</v>
      </c>
      <c r="I34" s="355"/>
      <c r="J34" s="356"/>
      <c r="K34" s="287">
        <f>INDEX(Таблицы!AF2:AL10,Таблицы!K1,5)</f>
        <v>5</v>
      </c>
      <c r="L34" s="287"/>
      <c r="M34" s="287"/>
      <c r="N34" s="227"/>
      <c r="O34" s="227"/>
      <c r="P34" s="227"/>
      <c r="Q34" s="13"/>
      <c r="R34" s="254"/>
      <c r="S34" s="254"/>
      <c r="T34" s="254"/>
      <c r="U34" s="254"/>
      <c r="V34" s="254"/>
      <c r="W34" s="254"/>
      <c r="X34" s="254"/>
      <c r="Y34" s="29"/>
      <c r="Z34" s="19"/>
      <c r="AA34" s="15"/>
      <c r="AB34" s="15"/>
      <c r="AC34" s="172"/>
      <c r="AD34" s="172"/>
      <c r="AE34" s="172"/>
      <c r="AF34" s="172"/>
      <c r="AG34" s="172"/>
      <c r="AH34" s="172"/>
      <c r="AI34" s="172"/>
      <c r="AJ34" s="172"/>
      <c r="AK34" s="435"/>
      <c r="AL34" s="435"/>
      <c r="AM34" s="13"/>
      <c r="AN34" s="228"/>
      <c r="AO34" s="228"/>
      <c r="AP34" s="436"/>
      <c r="AQ34" s="436"/>
      <c r="AR34" s="13"/>
      <c r="AS34" s="13"/>
      <c r="AT34" s="228"/>
      <c r="AU34" s="228"/>
      <c r="AV34" s="13"/>
      <c r="AW34" s="434"/>
      <c r="AX34" s="413"/>
      <c r="AY34" s="413"/>
      <c r="AZ34" s="13"/>
      <c r="BA34" s="434"/>
      <c r="BB34" s="413"/>
      <c r="BC34" s="413"/>
      <c r="BD34" s="13"/>
      <c r="BE34" s="434"/>
      <c r="BF34" s="413"/>
      <c r="BG34" s="413"/>
      <c r="BH34" s="13"/>
      <c r="BI34" s="434"/>
      <c r="BJ34" s="413"/>
      <c r="BK34" s="413"/>
      <c r="BL34" s="22"/>
      <c r="BM34" s="434"/>
      <c r="BN34" s="413"/>
      <c r="BO34" s="413"/>
      <c r="BP34" s="13"/>
      <c r="BQ34" s="29"/>
      <c r="BR34" s="13"/>
    </row>
    <row r="35" spans="1:70" ht="7.5" customHeight="1" thickBot="1">
      <c r="A35" s="16"/>
      <c r="B35" s="487"/>
      <c r="C35" s="347"/>
      <c r="D35" s="228"/>
      <c r="E35" s="228"/>
      <c r="F35" s="439"/>
      <c r="G35" s="13"/>
      <c r="H35" s="357"/>
      <c r="I35" s="358"/>
      <c r="J35" s="359"/>
      <c r="K35" s="228"/>
      <c r="L35" s="228"/>
      <c r="M35" s="228"/>
      <c r="N35" s="227"/>
      <c r="O35" s="227"/>
      <c r="P35" s="227"/>
      <c r="Q35" s="13"/>
      <c r="R35" s="468"/>
      <c r="S35" s="468"/>
      <c r="T35" s="468"/>
      <c r="U35" s="468"/>
      <c r="V35" s="468"/>
      <c r="W35" s="468"/>
      <c r="X35" s="468"/>
      <c r="Y35" s="29"/>
      <c r="Z35" s="19"/>
      <c r="AA35" s="15"/>
      <c r="AB35" s="15"/>
      <c r="AC35" s="172" t="s">
        <v>87</v>
      </c>
      <c r="AD35" s="172"/>
      <c r="AE35" s="172"/>
      <c r="AF35" s="172"/>
      <c r="AG35" s="172"/>
      <c r="AH35" s="172"/>
      <c r="AI35" s="172"/>
      <c r="AJ35" s="172"/>
      <c r="AK35" s="435">
        <f>SUM(AN35:AQ36)+AT35</f>
        <v>20</v>
      </c>
      <c r="AL35" s="435"/>
      <c r="AM35" s="13"/>
      <c r="AN35" s="228">
        <f>IF(D36=0,"",(2*SUM(D28,D36)+Таблицы!M216+Таблицы!U216))</f>
        <v>20</v>
      </c>
      <c r="AO35" s="228"/>
      <c r="AP35" s="436"/>
      <c r="AQ35" s="436"/>
      <c r="AR35" s="13"/>
      <c r="AS35" s="13"/>
      <c r="AT35" s="287">
        <f>IF(Таблицы!M26=20,SUM(AX35*2,BB35*2/2,INT(BF35*2/3),INT(BJ35*2/4),INT(BN35*2/5)),SUM(AX35,INT(BB35/2),INT(BF35/3),INT(BJ35/4),INT(BN35/5)))</f>
        <v>0</v>
      </c>
      <c r="AU35" s="287"/>
      <c r="AV35" s="13"/>
      <c r="AW35" s="434"/>
      <c r="AX35" s="413"/>
      <c r="AY35" s="413"/>
      <c r="AZ35" s="13"/>
      <c r="BA35" s="434"/>
      <c r="BB35" s="413"/>
      <c r="BC35" s="413"/>
      <c r="BD35" s="13"/>
      <c r="BE35" s="434"/>
      <c r="BF35" s="413"/>
      <c r="BG35" s="413"/>
      <c r="BH35" s="13"/>
      <c r="BI35" s="434"/>
      <c r="BJ35" s="413"/>
      <c r="BK35" s="413"/>
      <c r="BL35" s="22"/>
      <c r="BM35" s="434"/>
      <c r="BN35" s="413"/>
      <c r="BO35" s="413"/>
      <c r="BP35" s="13"/>
      <c r="BQ35" s="29"/>
      <c r="BR35" s="13"/>
    </row>
    <row r="36" spans="1:70" ht="7.5" customHeight="1">
      <c r="A36" s="16"/>
      <c r="B36" s="486" t="s">
        <v>119</v>
      </c>
      <c r="C36" s="346"/>
      <c r="D36" s="228">
        <f>SUM(K36+N36,IF(OR(Таблицы!F218=4,Таблицы!F219=4),Таблицы!L40,0),IF(OR(Таблицы!F218=17,Таблицы!F219=17),Таблицы!L54,0))</f>
        <v>5</v>
      </c>
      <c r="E36" s="228"/>
      <c r="F36" s="439"/>
      <c r="G36" s="13"/>
      <c r="H36" s="354" t="str">
        <f>INDEX(Таблицы!F2:L11,Таблицы!K1,6)</f>
        <v>1/10</v>
      </c>
      <c r="I36" s="355"/>
      <c r="J36" s="356"/>
      <c r="K36" s="287">
        <f>INDEX(Таблицы!AF2:AL10,Таблицы!K1,6)</f>
        <v>5</v>
      </c>
      <c r="L36" s="287"/>
      <c r="M36" s="287"/>
      <c r="N36" s="342"/>
      <c r="O36" s="437"/>
      <c r="P36" s="343"/>
      <c r="Q36" s="13"/>
      <c r="R36" s="448" t="s">
        <v>273</v>
      </c>
      <c r="S36" s="449"/>
      <c r="T36" s="449"/>
      <c r="U36" s="449"/>
      <c r="V36" s="449"/>
      <c r="W36" s="449"/>
      <c r="X36" s="450"/>
      <c r="Y36" s="29"/>
      <c r="Z36" s="19"/>
      <c r="AA36" s="15"/>
      <c r="AB36" s="15"/>
      <c r="AC36" s="172"/>
      <c r="AD36" s="172"/>
      <c r="AE36" s="172"/>
      <c r="AF36" s="172"/>
      <c r="AG36" s="172"/>
      <c r="AH36" s="172"/>
      <c r="AI36" s="172"/>
      <c r="AJ36" s="172"/>
      <c r="AK36" s="435"/>
      <c r="AL36" s="435"/>
      <c r="AM36" s="13"/>
      <c r="AN36" s="228"/>
      <c r="AO36" s="228"/>
      <c r="AP36" s="436"/>
      <c r="AQ36" s="436"/>
      <c r="AR36" s="13"/>
      <c r="AS36" s="13"/>
      <c r="AT36" s="228"/>
      <c r="AU36" s="228"/>
      <c r="AV36" s="13"/>
      <c r="AW36" s="434"/>
      <c r="AX36" s="413"/>
      <c r="AY36" s="413"/>
      <c r="AZ36" s="13"/>
      <c r="BA36" s="434"/>
      <c r="BB36" s="413"/>
      <c r="BC36" s="413"/>
      <c r="BD36" s="13"/>
      <c r="BE36" s="434"/>
      <c r="BF36" s="413"/>
      <c r="BG36" s="413"/>
      <c r="BH36" s="13"/>
      <c r="BI36" s="434"/>
      <c r="BJ36" s="413"/>
      <c r="BK36" s="413"/>
      <c r="BL36" s="22"/>
      <c r="BM36" s="434"/>
      <c r="BN36" s="413"/>
      <c r="BO36" s="413"/>
      <c r="BP36" s="13"/>
      <c r="BQ36" s="29"/>
      <c r="BR36" s="13"/>
    </row>
    <row r="37" spans="1:70" ht="7.5" customHeight="1" thickBot="1">
      <c r="A37" s="16"/>
      <c r="B37" s="487"/>
      <c r="C37" s="347"/>
      <c r="D37" s="228"/>
      <c r="E37" s="228"/>
      <c r="F37" s="439"/>
      <c r="G37" s="13"/>
      <c r="H37" s="357"/>
      <c r="I37" s="358"/>
      <c r="J37" s="359"/>
      <c r="K37" s="228"/>
      <c r="L37" s="228"/>
      <c r="M37" s="228"/>
      <c r="N37" s="344"/>
      <c r="O37" s="438"/>
      <c r="P37" s="345"/>
      <c r="Q37" s="13"/>
      <c r="R37" s="451"/>
      <c r="S37" s="452"/>
      <c r="T37" s="452"/>
      <c r="U37" s="452"/>
      <c r="V37" s="452"/>
      <c r="W37" s="452"/>
      <c r="X37" s="453"/>
      <c r="Y37" s="29"/>
      <c r="Z37" s="19"/>
      <c r="AA37" s="15"/>
      <c r="AB37" s="15"/>
      <c r="AC37" s="172" t="s">
        <v>88</v>
      </c>
      <c r="AD37" s="172"/>
      <c r="AE37" s="172"/>
      <c r="AF37" s="172"/>
      <c r="AG37" s="172"/>
      <c r="AH37" s="172"/>
      <c r="AI37" s="172"/>
      <c r="AJ37" s="172"/>
      <c r="AK37" s="435">
        <f>SUM(AN37:AQ38)+AT37</f>
        <v>25</v>
      </c>
      <c r="AL37" s="435"/>
      <c r="AM37" s="13"/>
      <c r="AN37" s="228">
        <f>IF(D36=0,"",(D32*5)+Таблицы!M217+Таблицы!U217)</f>
        <v>25</v>
      </c>
      <c r="AO37" s="228"/>
      <c r="AP37" s="436"/>
      <c r="AQ37" s="436"/>
      <c r="AR37" s="13"/>
      <c r="AS37" s="13"/>
      <c r="AT37" s="287">
        <f>IF(Таблицы!M217=20,SUM(AX37*2,BB37*2/2,INT(BF37*2/3),INT(BJ37*2/4),INT(BN37*2/5)),SUM(AX37,INT(BB37/2),INT(BF37/3),INT(BJ37/4),INT(BN37/5)))</f>
        <v>0</v>
      </c>
      <c r="AU37" s="287"/>
      <c r="AV37" s="13"/>
      <c r="AW37" s="434"/>
      <c r="AX37" s="413"/>
      <c r="AY37" s="413"/>
      <c r="AZ37" s="13"/>
      <c r="BA37" s="434"/>
      <c r="BB37" s="413"/>
      <c r="BC37" s="413"/>
      <c r="BD37" s="13"/>
      <c r="BE37" s="434"/>
      <c r="BF37" s="413"/>
      <c r="BG37" s="413"/>
      <c r="BH37" s="13"/>
      <c r="BI37" s="434"/>
      <c r="BJ37" s="413"/>
      <c r="BK37" s="413"/>
      <c r="BL37" s="22"/>
      <c r="BM37" s="434"/>
      <c r="BN37" s="413"/>
      <c r="BO37" s="413"/>
      <c r="BP37" s="13"/>
      <c r="BQ37" s="29"/>
      <c r="BR37" s="13"/>
    </row>
    <row r="38" spans="1:70" ht="7.5" customHeight="1">
      <c r="A38" s="19"/>
      <c r="B38" s="462" t="s">
        <v>120</v>
      </c>
      <c r="C38" s="172"/>
      <c r="D38" s="228">
        <f>SUM(K38+N38,IF(OR(Таблицы!F218=17,Таблицы!F219=17),Таблицы!L55,0))</f>
        <v>5</v>
      </c>
      <c r="E38" s="228"/>
      <c r="F38" s="439"/>
      <c r="G38" s="13"/>
      <c r="H38" s="354" t="str">
        <f>INDEX(Таблицы!F2:L11,Таблицы!K1,7)</f>
        <v>1/10</v>
      </c>
      <c r="I38" s="355"/>
      <c r="J38" s="356"/>
      <c r="K38" s="287">
        <f>INDEX(Таблицы!AF2:AL10,Таблицы!K1,7)</f>
        <v>5</v>
      </c>
      <c r="L38" s="287"/>
      <c r="M38" s="287"/>
      <c r="N38" s="227"/>
      <c r="O38" s="227"/>
      <c r="P38" s="227"/>
      <c r="Q38" s="13"/>
      <c r="R38" s="469"/>
      <c r="S38" s="469"/>
      <c r="T38" s="469"/>
      <c r="U38" s="469"/>
      <c r="V38" s="469"/>
      <c r="W38" s="469"/>
      <c r="X38" s="469"/>
      <c r="Y38" s="29"/>
      <c r="Z38" s="19"/>
      <c r="AA38" s="15"/>
      <c r="AB38" s="15"/>
      <c r="AC38" s="172"/>
      <c r="AD38" s="172"/>
      <c r="AE38" s="172"/>
      <c r="AF38" s="172"/>
      <c r="AG38" s="172"/>
      <c r="AH38" s="172"/>
      <c r="AI38" s="172"/>
      <c r="AJ38" s="172"/>
      <c r="AK38" s="435"/>
      <c r="AL38" s="435"/>
      <c r="AM38" s="13"/>
      <c r="AN38" s="228"/>
      <c r="AO38" s="228"/>
      <c r="AP38" s="436"/>
      <c r="AQ38" s="436"/>
      <c r="AR38" s="13"/>
      <c r="AS38" s="13"/>
      <c r="AT38" s="228"/>
      <c r="AU38" s="228"/>
      <c r="AV38" s="13"/>
      <c r="AW38" s="434"/>
      <c r="AX38" s="413"/>
      <c r="AY38" s="413"/>
      <c r="AZ38" s="13"/>
      <c r="BA38" s="434"/>
      <c r="BB38" s="413"/>
      <c r="BC38" s="413"/>
      <c r="BD38" s="13"/>
      <c r="BE38" s="434"/>
      <c r="BF38" s="413"/>
      <c r="BG38" s="413"/>
      <c r="BH38" s="13"/>
      <c r="BI38" s="434"/>
      <c r="BJ38" s="413"/>
      <c r="BK38" s="413"/>
      <c r="BL38" s="22"/>
      <c r="BM38" s="434"/>
      <c r="BN38" s="413"/>
      <c r="BO38" s="413"/>
      <c r="BP38" s="13"/>
      <c r="BQ38" s="29"/>
      <c r="BR38" s="13"/>
    </row>
    <row r="39" spans="1:70" ht="7.5" customHeight="1" thickBot="1">
      <c r="A39" s="16"/>
      <c r="B39" s="463"/>
      <c r="C39" s="464"/>
      <c r="D39" s="440"/>
      <c r="E39" s="440"/>
      <c r="F39" s="441"/>
      <c r="G39" s="13"/>
      <c r="H39" s="357"/>
      <c r="I39" s="358"/>
      <c r="J39" s="359"/>
      <c r="K39" s="228"/>
      <c r="L39" s="228"/>
      <c r="M39" s="228"/>
      <c r="N39" s="227"/>
      <c r="O39" s="227"/>
      <c r="P39" s="227"/>
      <c r="Q39" s="13"/>
      <c r="R39" s="470"/>
      <c r="S39" s="470"/>
      <c r="T39" s="470"/>
      <c r="U39" s="470"/>
      <c r="V39" s="470"/>
      <c r="W39" s="470"/>
      <c r="X39" s="470"/>
      <c r="Y39" s="29"/>
      <c r="Z39" s="19"/>
      <c r="AA39" s="15"/>
      <c r="AB39" s="15"/>
      <c r="AC39" s="172" t="s">
        <v>89</v>
      </c>
      <c r="AD39" s="172"/>
      <c r="AE39" s="172"/>
      <c r="AF39" s="172"/>
      <c r="AG39" s="172"/>
      <c r="AH39" s="172"/>
      <c r="AI39" s="172"/>
      <c r="AJ39" s="172"/>
      <c r="AK39" s="435">
        <f>SUM(AN39:AQ40)+AT39</f>
        <v>20</v>
      </c>
      <c r="AL39" s="435"/>
      <c r="AM39" s="13"/>
      <c r="AN39" s="228">
        <f>IF(D36=0,"",(D32*4)+Таблицы!M218+Таблицы!U218)</f>
        <v>20</v>
      </c>
      <c r="AO39" s="228"/>
      <c r="AP39" s="436"/>
      <c r="AQ39" s="436"/>
      <c r="AR39" s="13"/>
      <c r="AS39" s="13"/>
      <c r="AT39" s="287">
        <f>IF(Таблицы!M218=20,SUM(AX39*2,BB39*2/2,INT(BF39*2/3),INT(BJ39*2/4),INT(BN39*2/5)),SUM(AX39,INT(BB39/2),INT(BF39/3),INT(BJ39/4),INT(BN39/5)))</f>
        <v>0</v>
      </c>
      <c r="AU39" s="287"/>
      <c r="AV39" s="13"/>
      <c r="AW39" s="434"/>
      <c r="AX39" s="413"/>
      <c r="AY39" s="413"/>
      <c r="AZ39" s="13"/>
      <c r="BA39" s="434"/>
      <c r="BB39" s="413"/>
      <c r="BC39" s="413"/>
      <c r="BD39" s="13"/>
      <c r="BE39" s="434"/>
      <c r="BF39" s="413"/>
      <c r="BG39" s="413"/>
      <c r="BH39" s="13"/>
      <c r="BI39" s="434"/>
      <c r="BJ39" s="413"/>
      <c r="BK39" s="413"/>
      <c r="BL39" s="22"/>
      <c r="BM39" s="434"/>
      <c r="BN39" s="413"/>
      <c r="BO39" s="413"/>
      <c r="BP39" s="13"/>
      <c r="BQ39" s="29"/>
      <c r="BR39" s="13"/>
    </row>
    <row r="40" spans="1:70" ht="7.5" customHeight="1">
      <c r="A40" s="65"/>
      <c r="B40" s="67"/>
      <c r="C40" s="67"/>
      <c r="D40" s="46"/>
      <c r="E40" s="46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63"/>
      <c r="X40" s="63"/>
      <c r="Y40" s="66"/>
      <c r="Z40" s="19"/>
      <c r="AA40" s="15"/>
      <c r="AB40" s="15"/>
      <c r="AC40" s="172"/>
      <c r="AD40" s="172"/>
      <c r="AE40" s="172"/>
      <c r="AF40" s="172"/>
      <c r="AG40" s="172"/>
      <c r="AH40" s="172"/>
      <c r="AI40" s="172"/>
      <c r="AJ40" s="172"/>
      <c r="AK40" s="435"/>
      <c r="AL40" s="435"/>
      <c r="AM40" s="13"/>
      <c r="AN40" s="228"/>
      <c r="AO40" s="228"/>
      <c r="AP40" s="436"/>
      <c r="AQ40" s="436"/>
      <c r="AR40" s="13"/>
      <c r="AS40" s="13"/>
      <c r="AT40" s="228"/>
      <c r="AU40" s="228"/>
      <c r="AV40" s="13"/>
      <c r="AW40" s="434"/>
      <c r="AX40" s="413"/>
      <c r="AY40" s="413"/>
      <c r="AZ40" s="13"/>
      <c r="BA40" s="434"/>
      <c r="BB40" s="413"/>
      <c r="BC40" s="413"/>
      <c r="BD40" s="13"/>
      <c r="BE40" s="434"/>
      <c r="BF40" s="413"/>
      <c r="BG40" s="413"/>
      <c r="BH40" s="13"/>
      <c r="BI40" s="434"/>
      <c r="BJ40" s="413"/>
      <c r="BK40" s="413"/>
      <c r="BL40" s="13"/>
      <c r="BM40" s="434"/>
      <c r="BN40" s="413"/>
      <c r="BO40" s="413"/>
      <c r="BP40" s="13"/>
      <c r="BQ40" s="29"/>
      <c r="BR40" s="13"/>
    </row>
    <row r="41" spans="1:70" ht="7.5" customHeight="1" thickBot="1">
      <c r="A41" s="19"/>
      <c r="B41" s="7"/>
      <c r="C41" s="7"/>
      <c r="D41" s="13"/>
      <c r="E41" s="13"/>
      <c r="F41" s="3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4"/>
      <c r="X41" s="4"/>
      <c r="Y41" s="29"/>
      <c r="Z41" s="19"/>
      <c r="AA41" s="15"/>
      <c r="AB41" s="15"/>
      <c r="AC41" s="172" t="s">
        <v>90</v>
      </c>
      <c r="AD41" s="172"/>
      <c r="AE41" s="172"/>
      <c r="AF41" s="172"/>
      <c r="AG41" s="172"/>
      <c r="AH41" s="172"/>
      <c r="AI41" s="172"/>
      <c r="AJ41" s="172"/>
      <c r="AK41" s="435">
        <f>SUM(AN41:AQ42)+AT41</f>
        <v>25</v>
      </c>
      <c r="AL41" s="435"/>
      <c r="AM41" s="13"/>
      <c r="AN41" s="228">
        <f>IF(D36=0,"",(D38*5)+Таблицы!M219+Таблицы!U219)</f>
        <v>25</v>
      </c>
      <c r="AO41" s="228"/>
      <c r="AP41" s="436"/>
      <c r="AQ41" s="436"/>
      <c r="AR41" s="13"/>
      <c r="AS41" s="13"/>
      <c r="AT41" s="287">
        <f>IF(Таблицы!M219=20,SUM(AX41*2,BB41*2/2,INT(BF41*2/3),INT(BJ41*2/4),INT(BN41*2/5)),SUM(AX41,INT(BB41/2),INT(BF41/3),INT(BJ41/4),INT(BN41/5)))</f>
        <v>0</v>
      </c>
      <c r="AU41" s="287"/>
      <c r="AV41" s="13"/>
      <c r="AW41" s="434"/>
      <c r="AX41" s="413"/>
      <c r="AY41" s="413"/>
      <c r="AZ41" s="13"/>
      <c r="BA41" s="434"/>
      <c r="BB41" s="413"/>
      <c r="BC41" s="413"/>
      <c r="BD41" s="13"/>
      <c r="BE41" s="434"/>
      <c r="BF41" s="413"/>
      <c r="BG41" s="413"/>
      <c r="BH41" s="13"/>
      <c r="BI41" s="434"/>
      <c r="BJ41" s="413"/>
      <c r="BK41" s="413"/>
      <c r="BL41" s="13"/>
      <c r="BM41" s="434"/>
      <c r="BN41" s="413"/>
      <c r="BO41" s="413"/>
      <c r="BP41" s="13"/>
      <c r="BQ41" s="29"/>
      <c r="BR41" s="13"/>
    </row>
    <row r="42" spans="1:70" ht="7.5" customHeight="1">
      <c r="A42" s="19"/>
      <c r="B42" s="423" t="s">
        <v>257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 t="s">
        <v>222</v>
      </c>
      <c r="P42" s="424"/>
      <c r="Q42" s="425"/>
      <c r="R42" s="13"/>
      <c r="S42" s="454" t="s">
        <v>74</v>
      </c>
      <c r="T42" s="455"/>
      <c r="U42" s="455"/>
      <c r="V42" s="458" t="s">
        <v>8</v>
      </c>
      <c r="W42" s="458"/>
      <c r="X42" s="459"/>
      <c r="Y42" s="29"/>
      <c r="Z42" s="19"/>
      <c r="AA42" s="15"/>
      <c r="AB42" s="15"/>
      <c r="AC42" s="172"/>
      <c r="AD42" s="172"/>
      <c r="AE42" s="172"/>
      <c r="AF42" s="172"/>
      <c r="AG42" s="172"/>
      <c r="AH42" s="172"/>
      <c r="AI42" s="172"/>
      <c r="AJ42" s="172"/>
      <c r="AK42" s="435"/>
      <c r="AL42" s="435"/>
      <c r="AM42" s="13"/>
      <c r="AN42" s="228"/>
      <c r="AO42" s="228"/>
      <c r="AP42" s="436"/>
      <c r="AQ42" s="436"/>
      <c r="AR42" s="13"/>
      <c r="AS42" s="13"/>
      <c r="AT42" s="228"/>
      <c r="AU42" s="228"/>
      <c r="AV42" s="13"/>
      <c r="AW42" s="434"/>
      <c r="AX42" s="413"/>
      <c r="AY42" s="413"/>
      <c r="AZ42" s="13"/>
      <c r="BA42" s="434"/>
      <c r="BB42" s="413"/>
      <c r="BC42" s="413"/>
      <c r="BD42" s="13"/>
      <c r="BE42" s="434"/>
      <c r="BF42" s="413"/>
      <c r="BG42" s="413"/>
      <c r="BH42" s="13"/>
      <c r="BI42" s="434"/>
      <c r="BJ42" s="413"/>
      <c r="BK42" s="413"/>
      <c r="BL42" s="13"/>
      <c r="BM42" s="434"/>
      <c r="BN42" s="413"/>
      <c r="BO42" s="413"/>
      <c r="BP42" s="13"/>
      <c r="BQ42" s="29"/>
      <c r="BR42" s="13"/>
    </row>
    <row r="43" spans="1:70" ht="7.5" customHeight="1" thickBot="1">
      <c r="A43" s="16"/>
      <c r="B43" s="426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8"/>
      <c r="R43" s="13"/>
      <c r="S43" s="456"/>
      <c r="T43" s="457"/>
      <c r="U43" s="457"/>
      <c r="V43" s="460"/>
      <c r="W43" s="460"/>
      <c r="X43" s="461"/>
      <c r="Y43" s="29"/>
      <c r="Z43" s="19"/>
      <c r="AA43" s="15"/>
      <c r="AB43" s="15"/>
      <c r="AC43" s="172" t="s">
        <v>91</v>
      </c>
      <c r="AD43" s="172"/>
      <c r="AE43" s="172"/>
      <c r="AF43" s="172"/>
      <c r="AG43" s="172"/>
      <c r="AH43" s="172"/>
      <c r="AI43" s="172"/>
      <c r="AJ43" s="172"/>
      <c r="AK43" s="435">
        <f>SUM(AN43:AQ44)+AT43</f>
        <v>20</v>
      </c>
      <c r="AL43" s="435"/>
      <c r="AM43" s="13"/>
      <c r="AN43" s="228">
        <f>IF(D36=0,"",(2*SUM(D34,D30)+Таблицы!M220+Таблицы!U220))</f>
        <v>20</v>
      </c>
      <c r="AO43" s="228"/>
      <c r="AP43" s="436"/>
      <c r="AQ43" s="436"/>
      <c r="AR43" s="13"/>
      <c r="AS43" s="13"/>
      <c r="AT43" s="287">
        <f>IF(Таблицы!M220=20,SUM(AX43*2,BB43*2/2,INT(BF43*2/3),INT(BJ43*2/4),INT(BN43*2/5)),SUM(AX43,INT(BB43/2),INT(BF43/3),INT(BJ43/4),INT(BN43/5)))</f>
        <v>0</v>
      </c>
      <c r="AU43" s="287"/>
      <c r="AV43" s="13"/>
      <c r="AW43" s="434"/>
      <c r="AX43" s="413"/>
      <c r="AY43" s="413"/>
      <c r="AZ43" s="13"/>
      <c r="BA43" s="434"/>
      <c r="BB43" s="413"/>
      <c r="BC43" s="413"/>
      <c r="BD43" s="13"/>
      <c r="BE43" s="434"/>
      <c r="BF43" s="413"/>
      <c r="BG43" s="413"/>
      <c r="BH43" s="13"/>
      <c r="BI43" s="434"/>
      <c r="BJ43" s="413"/>
      <c r="BK43" s="413"/>
      <c r="BL43" s="13"/>
      <c r="BM43" s="434"/>
      <c r="BN43" s="413"/>
      <c r="BO43" s="413"/>
      <c r="BP43" s="13"/>
      <c r="BQ43" s="29"/>
      <c r="BR43" s="13"/>
    </row>
    <row r="44" spans="1:70" ht="7.5" customHeight="1">
      <c r="A44" s="19"/>
      <c r="B44" s="336" t="s">
        <v>72</v>
      </c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287">
        <f>SUM(S44:X45)</f>
        <v>30</v>
      </c>
      <c r="P44" s="287"/>
      <c r="Q44" s="465"/>
      <c r="R44" s="13"/>
      <c r="S44" s="472">
        <f>15+(D26+(2*D30))+G20*(B16-1)+INDEX(Таблицы!T2:T10,Таблицы!K1,1)</f>
        <v>30</v>
      </c>
      <c r="T44" s="472"/>
      <c r="U44" s="472"/>
      <c r="V44" s="254"/>
      <c r="W44" s="254"/>
      <c r="X44" s="254"/>
      <c r="Y44" s="29"/>
      <c r="Z44" s="19"/>
      <c r="AA44" s="15"/>
      <c r="AB44" s="8"/>
      <c r="AC44" s="172"/>
      <c r="AD44" s="172"/>
      <c r="AE44" s="172"/>
      <c r="AF44" s="172"/>
      <c r="AG44" s="172"/>
      <c r="AH44" s="172"/>
      <c r="AI44" s="172"/>
      <c r="AJ44" s="172"/>
      <c r="AK44" s="435"/>
      <c r="AL44" s="435"/>
      <c r="AM44" s="13"/>
      <c r="AN44" s="228"/>
      <c r="AO44" s="228"/>
      <c r="AP44" s="436"/>
      <c r="AQ44" s="436"/>
      <c r="AR44" s="15"/>
      <c r="AS44" s="13"/>
      <c r="AT44" s="228"/>
      <c r="AU44" s="228"/>
      <c r="AV44" s="13"/>
      <c r="AW44" s="434"/>
      <c r="AX44" s="413"/>
      <c r="AY44" s="413"/>
      <c r="AZ44" s="13"/>
      <c r="BA44" s="434"/>
      <c r="BB44" s="413"/>
      <c r="BC44" s="413"/>
      <c r="BD44" s="13"/>
      <c r="BE44" s="434"/>
      <c r="BF44" s="413"/>
      <c r="BG44" s="413"/>
      <c r="BH44" s="13"/>
      <c r="BI44" s="434"/>
      <c r="BJ44" s="413"/>
      <c r="BK44" s="413"/>
      <c r="BL44" s="13"/>
      <c r="BM44" s="434"/>
      <c r="BN44" s="413"/>
      <c r="BO44" s="413"/>
      <c r="BP44" s="13"/>
      <c r="BQ44" s="29"/>
      <c r="BR44" s="13"/>
    </row>
    <row r="45" spans="1:81" ht="7.5" customHeight="1">
      <c r="A45" s="16"/>
      <c r="B45" s="408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228"/>
      <c r="P45" s="228"/>
      <c r="Q45" s="439"/>
      <c r="R45" s="13"/>
      <c r="S45" s="473"/>
      <c r="T45" s="473"/>
      <c r="U45" s="473"/>
      <c r="V45" s="227"/>
      <c r="W45" s="227"/>
      <c r="X45" s="227"/>
      <c r="Y45" s="29"/>
      <c r="Z45" s="65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66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</row>
    <row r="46" spans="1:70" ht="7.5" customHeight="1" thickBot="1">
      <c r="A46" s="19"/>
      <c r="B46" s="408" t="s">
        <v>259</v>
      </c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228">
        <f>SUM(S46:X47)</f>
        <v>150</v>
      </c>
      <c r="P46" s="228"/>
      <c r="Q46" s="439"/>
      <c r="R46" s="13"/>
      <c r="S46" s="471">
        <f>IF(OR(Таблицы!F218=4,Таблицы!F219=4),D26*15,25+(D26*25))</f>
        <v>150</v>
      </c>
      <c r="T46" s="471"/>
      <c r="U46" s="471"/>
      <c r="V46" s="227"/>
      <c r="W46" s="227"/>
      <c r="X46" s="227"/>
      <c r="Y46" s="29"/>
      <c r="Z46" s="19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5"/>
      <c r="AX46" s="15"/>
      <c r="AY46" s="15"/>
      <c r="AZ46" s="15"/>
      <c r="BA46" s="15"/>
      <c r="BB46" s="15"/>
      <c r="BC46" s="15"/>
      <c r="BD46" s="15"/>
      <c r="BE46" s="13"/>
      <c r="BF46" s="13"/>
      <c r="BG46" s="13"/>
      <c r="BH46" s="15"/>
      <c r="BI46" s="15"/>
      <c r="BJ46" s="13"/>
      <c r="BK46" s="13"/>
      <c r="BL46" s="13"/>
      <c r="BM46" s="13"/>
      <c r="BN46" s="13"/>
      <c r="BO46" s="13"/>
      <c r="BP46" s="13"/>
      <c r="BQ46" s="29"/>
      <c r="BR46" s="13"/>
    </row>
    <row r="47" spans="1:70" ht="7.5" customHeight="1">
      <c r="A47" s="16"/>
      <c r="B47" s="408"/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228"/>
      <c r="P47" s="228"/>
      <c r="Q47" s="439"/>
      <c r="R47" s="13"/>
      <c r="S47" s="471"/>
      <c r="T47" s="471"/>
      <c r="U47" s="471"/>
      <c r="V47" s="227"/>
      <c r="W47" s="227"/>
      <c r="X47" s="227"/>
      <c r="Y47" s="29"/>
      <c r="Z47" s="19"/>
      <c r="AA47" s="13"/>
      <c r="AH47" s="176" t="s">
        <v>96</v>
      </c>
      <c r="AI47" s="177"/>
      <c r="AJ47" s="177"/>
      <c r="AK47" s="177"/>
      <c r="AL47" s="177"/>
      <c r="AM47" s="177"/>
      <c r="AN47" s="177"/>
      <c r="AO47" s="177"/>
      <c r="AP47" s="177"/>
      <c r="AQ47" s="177"/>
      <c r="AR47" s="178"/>
      <c r="AS47" s="23"/>
      <c r="AT47" s="402" t="s">
        <v>102</v>
      </c>
      <c r="AU47" s="263"/>
      <c r="AV47" s="263"/>
      <c r="AW47" s="263"/>
      <c r="AX47" s="263"/>
      <c r="AY47" s="263"/>
      <c r="AZ47" s="263"/>
      <c r="BA47" s="263"/>
      <c r="BB47" s="262" t="s">
        <v>276</v>
      </c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4"/>
      <c r="BP47" s="13"/>
      <c r="BQ47" s="29"/>
      <c r="BR47" s="13"/>
    </row>
    <row r="48" spans="1:70" ht="7.5" customHeight="1">
      <c r="A48" s="19"/>
      <c r="B48" s="408" t="s">
        <v>260</v>
      </c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228">
        <f>SUM(S48:X49)</f>
        <v>7</v>
      </c>
      <c r="P48" s="228"/>
      <c r="Q48" s="439"/>
      <c r="R48" s="13"/>
      <c r="S48" s="471">
        <f>IF(K26="","",SUM(ROUNDDOWN(5+(D36/2),0),IF(OR(Таблицы!F218=3,Таблицы!F219=3),Таблицы!L39,0)))</f>
        <v>7</v>
      </c>
      <c r="T48" s="471"/>
      <c r="U48" s="471"/>
      <c r="V48" s="227"/>
      <c r="W48" s="227"/>
      <c r="X48" s="227"/>
      <c r="Y48" s="29"/>
      <c r="Z48" s="19"/>
      <c r="AA48" s="4"/>
      <c r="AH48" s="179"/>
      <c r="AI48" s="180"/>
      <c r="AJ48" s="180"/>
      <c r="AK48" s="180"/>
      <c r="AL48" s="180"/>
      <c r="AM48" s="180"/>
      <c r="AN48" s="180"/>
      <c r="AO48" s="180"/>
      <c r="AP48" s="180"/>
      <c r="AQ48" s="180"/>
      <c r="AR48" s="181"/>
      <c r="AS48" s="23"/>
      <c r="AT48" s="403"/>
      <c r="AU48" s="266"/>
      <c r="AV48" s="266"/>
      <c r="AW48" s="266"/>
      <c r="AX48" s="266"/>
      <c r="AY48" s="266"/>
      <c r="AZ48" s="266"/>
      <c r="BA48" s="266"/>
      <c r="BB48" s="265"/>
      <c r="BC48" s="266"/>
      <c r="BD48" s="266"/>
      <c r="BE48" s="266"/>
      <c r="BF48" s="266"/>
      <c r="BG48" s="266"/>
      <c r="BH48" s="266"/>
      <c r="BI48" s="266"/>
      <c r="BJ48" s="266"/>
      <c r="BK48" s="266"/>
      <c r="BL48" s="266"/>
      <c r="BM48" s="266"/>
      <c r="BN48" s="266"/>
      <c r="BO48" s="267"/>
      <c r="BP48" s="13"/>
      <c r="BQ48" s="29"/>
      <c r="BR48" s="13"/>
    </row>
    <row r="49" spans="1:70" ht="7.5" customHeight="1" thickBot="1">
      <c r="A49" s="24"/>
      <c r="B49" s="40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228"/>
      <c r="P49" s="228"/>
      <c r="Q49" s="439"/>
      <c r="R49" s="13"/>
      <c r="S49" s="471"/>
      <c r="T49" s="471"/>
      <c r="U49" s="471"/>
      <c r="V49" s="227"/>
      <c r="W49" s="227"/>
      <c r="X49" s="227"/>
      <c r="Y49" s="29"/>
      <c r="Z49" s="3"/>
      <c r="AA49" s="4"/>
      <c r="AH49" s="173"/>
      <c r="AI49" s="174"/>
      <c r="AJ49" s="174"/>
      <c r="AK49" s="174"/>
      <c r="AL49" s="174"/>
      <c r="AM49" s="174"/>
      <c r="AN49" s="174"/>
      <c r="AO49" s="174"/>
      <c r="AP49" s="174"/>
      <c r="AQ49" s="174"/>
      <c r="AR49" s="175"/>
      <c r="AS49" s="13"/>
      <c r="AT49" s="404"/>
      <c r="AU49" s="269"/>
      <c r="AV49" s="269"/>
      <c r="AW49" s="269"/>
      <c r="AX49" s="269"/>
      <c r="AY49" s="269"/>
      <c r="AZ49" s="269"/>
      <c r="BA49" s="269"/>
      <c r="BB49" s="268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70"/>
      <c r="BP49" s="13"/>
      <c r="BQ49" s="29"/>
      <c r="BR49" s="13"/>
    </row>
    <row r="50" spans="1:70" ht="7.5" customHeight="1">
      <c r="A50" s="24"/>
      <c r="B50" s="408" t="s">
        <v>261</v>
      </c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228">
        <f>SUM(S50:X51)</f>
        <v>10</v>
      </c>
      <c r="P50" s="228"/>
      <c r="Q50" s="439"/>
      <c r="R50" s="13"/>
      <c r="S50" s="471">
        <f>IF(OR(Таблицы!F218=7,Таблицы!F219=7),SUM(2*D28,Таблицы!L44),2*D28)</f>
        <v>10</v>
      </c>
      <c r="T50" s="471"/>
      <c r="U50" s="471"/>
      <c r="V50" s="227"/>
      <c r="W50" s="227"/>
      <c r="X50" s="227"/>
      <c r="Y50" s="29"/>
      <c r="Z50" s="19"/>
      <c r="AA50" s="13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13"/>
      <c r="AT50" s="405"/>
      <c r="AU50" s="405"/>
      <c r="AV50" s="405"/>
      <c r="AW50" s="405"/>
      <c r="AX50" s="405"/>
      <c r="AY50" s="405"/>
      <c r="AZ50" s="405"/>
      <c r="BA50" s="405"/>
      <c r="BB50" s="271"/>
      <c r="BC50" s="271"/>
      <c r="BD50" s="271"/>
      <c r="BE50" s="271"/>
      <c r="BF50" s="271"/>
      <c r="BG50" s="271"/>
      <c r="BH50" s="271"/>
      <c r="BI50" s="271"/>
      <c r="BJ50" s="271"/>
      <c r="BK50" s="271"/>
      <c r="BL50" s="271"/>
      <c r="BM50" s="271"/>
      <c r="BN50" s="271"/>
      <c r="BO50" s="271"/>
      <c r="BP50" s="13"/>
      <c r="BQ50" s="29"/>
      <c r="BR50" s="13"/>
    </row>
    <row r="51" spans="1:70" ht="7.5" customHeight="1">
      <c r="A51" s="19"/>
      <c r="B51" s="408"/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228"/>
      <c r="P51" s="228"/>
      <c r="Q51" s="439"/>
      <c r="R51" s="4"/>
      <c r="S51" s="471"/>
      <c r="T51" s="471"/>
      <c r="U51" s="471"/>
      <c r="V51" s="227"/>
      <c r="W51" s="227"/>
      <c r="X51" s="227"/>
      <c r="Y51" s="37"/>
      <c r="Z51" s="19"/>
      <c r="AA51" s="4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13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13"/>
      <c r="BQ51" s="29"/>
      <c r="BR51" s="13"/>
    </row>
    <row r="52" spans="1:70" ht="7.5" customHeight="1">
      <c r="A52" s="16"/>
      <c r="B52" s="408" t="s">
        <v>262</v>
      </c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228">
        <f>SUM(S52:X53)</f>
        <v>1</v>
      </c>
      <c r="P52" s="228"/>
      <c r="Q52" s="439"/>
      <c r="R52" s="4"/>
      <c r="S52" s="471">
        <f>IF(K26="","",SUM(VLOOKUP(D26,Таблицы!E12:F26,2,FALSE)+IF(Таблицы!K1=5,5,0),IF(OR(Таблицы!F218=8,Таблицы!F219=8),Таблицы!L45,0),IF(OR(Таблицы!F218=24,Таблицы!F219=24),Таблицы!L60,0)))</f>
        <v>1</v>
      </c>
      <c r="T52" s="471"/>
      <c r="U52" s="471"/>
      <c r="V52" s="227"/>
      <c r="W52" s="227"/>
      <c r="X52" s="227"/>
      <c r="Y52" s="37"/>
      <c r="Z52" s="3"/>
      <c r="AA52" s="4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13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13"/>
      <c r="BQ52" s="29"/>
      <c r="BR52" s="13"/>
    </row>
    <row r="53" spans="1:70" ht="7.5" customHeight="1">
      <c r="A53" s="19"/>
      <c r="B53" s="40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228"/>
      <c r="P53" s="228"/>
      <c r="Q53" s="439"/>
      <c r="R53" s="13"/>
      <c r="S53" s="471"/>
      <c r="T53" s="471"/>
      <c r="U53" s="471"/>
      <c r="V53" s="227"/>
      <c r="W53" s="227"/>
      <c r="X53" s="227"/>
      <c r="Y53" s="29"/>
      <c r="Z53" s="19"/>
      <c r="AA53" s="13"/>
      <c r="AH53" s="406" t="str">
        <f>INDEX(Таблицы!P35:W63,Таблицы!F218,Таблицы!K1)</f>
        <v> </v>
      </c>
      <c r="AI53" s="406"/>
      <c r="AJ53" s="406"/>
      <c r="AK53" s="406"/>
      <c r="AL53" s="406"/>
      <c r="AM53" s="406"/>
      <c r="AN53" s="406"/>
      <c r="AO53" s="406"/>
      <c r="AP53" s="406"/>
      <c r="AQ53" s="406"/>
      <c r="AR53" s="406"/>
      <c r="AS53" s="13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13"/>
      <c r="BQ53" s="29"/>
      <c r="BR53" s="13"/>
    </row>
    <row r="54" spans="1:70" ht="7.5" customHeight="1">
      <c r="A54" s="16"/>
      <c r="B54" s="408" t="s">
        <v>263</v>
      </c>
      <c r="C54" s="398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497">
        <f>SUM(S54:X55)</f>
        <v>0.05</v>
      </c>
      <c r="P54" s="497"/>
      <c r="Q54" s="498"/>
      <c r="R54" s="4"/>
      <c r="S54" s="482">
        <f>IF(OR(Таблицы!F218=6,Таблицы!F219=6),SUM(D38/100,Таблицы!L42),D38/100)</f>
        <v>0.05</v>
      </c>
      <c r="T54" s="482"/>
      <c r="U54" s="482"/>
      <c r="V54" s="495"/>
      <c r="W54" s="495"/>
      <c r="X54" s="495"/>
      <c r="Y54" s="37"/>
      <c r="Z54" s="19"/>
      <c r="AA54" s="4"/>
      <c r="AH54" s="406"/>
      <c r="AI54" s="406"/>
      <c r="AJ54" s="406"/>
      <c r="AK54" s="406"/>
      <c r="AL54" s="406"/>
      <c r="AM54" s="406"/>
      <c r="AN54" s="406"/>
      <c r="AO54" s="406"/>
      <c r="AP54" s="406"/>
      <c r="AQ54" s="406"/>
      <c r="AR54" s="406"/>
      <c r="AS54" s="13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13"/>
      <c r="BQ54" s="29"/>
      <c r="BR54" s="13"/>
    </row>
    <row r="55" spans="1:70" ht="7.5" customHeight="1">
      <c r="A55" s="19"/>
      <c r="B55" s="40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497"/>
      <c r="P55" s="497"/>
      <c r="Q55" s="498"/>
      <c r="R55" s="4"/>
      <c r="S55" s="482"/>
      <c r="T55" s="482"/>
      <c r="U55" s="482"/>
      <c r="V55" s="495"/>
      <c r="W55" s="495"/>
      <c r="X55" s="495"/>
      <c r="Y55" s="37"/>
      <c r="Z55" s="3"/>
      <c r="AA55" s="4"/>
      <c r="AH55" s="406"/>
      <c r="AI55" s="406"/>
      <c r="AJ55" s="406"/>
      <c r="AK55" s="406"/>
      <c r="AL55" s="406"/>
      <c r="AM55" s="406"/>
      <c r="AN55" s="406"/>
      <c r="AO55" s="406"/>
      <c r="AP55" s="406"/>
      <c r="AQ55" s="406"/>
      <c r="AR55" s="406"/>
      <c r="AS55" s="13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13"/>
      <c r="BQ55" s="29"/>
      <c r="BR55" s="13"/>
    </row>
    <row r="56" spans="1:70" ht="7.5" customHeight="1">
      <c r="A56" s="16"/>
      <c r="B56" s="408" t="s">
        <v>264</v>
      </c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228">
        <f>SUM(S56:X57)</f>
        <v>1</v>
      </c>
      <c r="P56" s="228"/>
      <c r="Q56" s="439"/>
      <c r="R56" s="13"/>
      <c r="S56" s="471">
        <f>IF(D30=0,"",SUM(VLOOKUP(D30,Таблицы!H12:I25,2,FALSE),IF(OR(Таблицы!F218=2,Таблицы!F219=2),2,0)))</f>
        <v>1</v>
      </c>
      <c r="T56" s="471"/>
      <c r="U56" s="471"/>
      <c r="V56" s="227"/>
      <c r="W56" s="227"/>
      <c r="X56" s="227"/>
      <c r="Y56" s="29"/>
      <c r="Z56" s="19"/>
      <c r="AA56" s="13"/>
      <c r="AH56" s="406"/>
      <c r="AI56" s="406"/>
      <c r="AJ56" s="406"/>
      <c r="AK56" s="406"/>
      <c r="AL56" s="406"/>
      <c r="AM56" s="406"/>
      <c r="AN56" s="406"/>
      <c r="AO56" s="406"/>
      <c r="AP56" s="406"/>
      <c r="AQ56" s="406"/>
      <c r="AR56" s="406"/>
      <c r="AS56" s="13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13"/>
      <c r="BQ56" s="29"/>
      <c r="BR56" s="13"/>
    </row>
    <row r="57" spans="1:70" ht="7.5" customHeight="1">
      <c r="A57" s="19"/>
      <c r="B57" s="408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228"/>
      <c r="P57" s="228"/>
      <c r="Q57" s="439"/>
      <c r="R57" s="4"/>
      <c r="S57" s="471"/>
      <c r="T57" s="471"/>
      <c r="U57" s="471"/>
      <c r="V57" s="227"/>
      <c r="W57" s="227"/>
      <c r="X57" s="227"/>
      <c r="Y57" s="37"/>
      <c r="Z57" s="19"/>
      <c r="AA57" s="4"/>
      <c r="AH57" s="406"/>
      <c r="AI57" s="406"/>
      <c r="AJ57" s="406"/>
      <c r="AK57" s="406"/>
      <c r="AL57" s="406"/>
      <c r="AM57" s="406"/>
      <c r="AN57" s="406"/>
      <c r="AO57" s="406"/>
      <c r="AP57" s="406"/>
      <c r="AQ57" s="406"/>
      <c r="AR57" s="406"/>
      <c r="AS57" s="13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13"/>
      <c r="BQ57" s="29"/>
      <c r="BR57" s="13"/>
    </row>
    <row r="58" spans="1:70" ht="7.5" customHeight="1">
      <c r="A58" s="16"/>
      <c r="B58" s="408" t="s">
        <v>265</v>
      </c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497">
        <f>SUM(S58:X59)</f>
        <v>0.25</v>
      </c>
      <c r="P58" s="497"/>
      <c r="Q58" s="498"/>
      <c r="R58" s="4"/>
      <c r="S58" s="482">
        <f>IF(D30=0,"",SUM(IF(OR(Таблицы!F218=2,Таблицы!F219=2),INDEX(Таблицы!F2:S10,Таблицы!K1,11),IF(((5*D30)/100)+INDEX(Таблицы!F2:S10,Таблицы!K1,11)&gt;1,1,((5*D30)/100)+INDEX(Таблицы!F2:S10,Таблицы!K1,11)))))</f>
        <v>0.25</v>
      </c>
      <c r="T58" s="482"/>
      <c r="U58" s="482"/>
      <c r="V58" s="495"/>
      <c r="W58" s="495"/>
      <c r="X58" s="495"/>
      <c r="Y58" s="37"/>
      <c r="Z58" s="3"/>
      <c r="AA58" s="4"/>
      <c r="AH58" s="406"/>
      <c r="AI58" s="406"/>
      <c r="AJ58" s="406"/>
      <c r="AK58" s="406"/>
      <c r="AL58" s="406"/>
      <c r="AM58" s="406"/>
      <c r="AN58" s="406"/>
      <c r="AO58" s="406"/>
      <c r="AP58" s="406"/>
      <c r="AQ58" s="406"/>
      <c r="AR58" s="406"/>
      <c r="AS58" s="13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13"/>
      <c r="BQ58" s="29"/>
      <c r="BR58" s="13"/>
    </row>
    <row r="59" spans="1:70" ht="7.5" customHeight="1">
      <c r="A59" s="19"/>
      <c r="B59" s="40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497"/>
      <c r="P59" s="497"/>
      <c r="Q59" s="498"/>
      <c r="R59" s="13"/>
      <c r="S59" s="482"/>
      <c r="T59" s="482"/>
      <c r="U59" s="482"/>
      <c r="V59" s="495"/>
      <c r="W59" s="495"/>
      <c r="X59" s="495"/>
      <c r="Y59" s="29"/>
      <c r="Z59" s="19"/>
      <c r="AA59" s="13"/>
      <c r="AH59" s="407"/>
      <c r="AI59" s="407"/>
      <c r="AJ59" s="407"/>
      <c r="AK59" s="407"/>
      <c r="AL59" s="407"/>
      <c r="AM59" s="407"/>
      <c r="AN59" s="407"/>
      <c r="AO59" s="407"/>
      <c r="AP59" s="407"/>
      <c r="AQ59" s="407"/>
      <c r="AR59" s="407"/>
      <c r="AS59" s="13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13"/>
      <c r="BQ59" s="29"/>
      <c r="BR59" s="13"/>
    </row>
    <row r="60" spans="1:70" ht="7.5" customHeight="1">
      <c r="A60" s="16"/>
      <c r="B60" s="408" t="s">
        <v>266</v>
      </c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497">
        <f>SUM(S60:X61)</f>
        <v>0.1</v>
      </c>
      <c r="P60" s="497"/>
      <c r="Q60" s="498"/>
      <c r="R60" s="4"/>
      <c r="S60" s="482">
        <f>IF(OR(Таблицы!F218=19,Таблицы!F219=19),SUM(Таблицы!L56,IF(D30=0,"",IF(OR(Таблицы!F218=2,Таблицы!F219=2),INDEX(Таблицы!F2:S10,Таблицы!K1,12),IF(((2*D30)/100)+INDEX(Таблицы!F2:S10,Таблицы!K1,12)&gt;1,1,((2*D30)/100)+INDEX(Таблицы!F2:S10,Таблицы!K1,12))))),IF(D30=0,"",IF(OR(Таблицы!F218=2,Таблицы!F219=2),INDEX(Таблицы!F2:S10,Таблицы!K1,12),IF(((2*D30)/100)+INDEX(Таблицы!F2:S10,Таблицы!K1,12)&gt;1,1,((2*D30)/100)+INDEX(Таблицы!F2:S10,Таблицы!K1,12)))))</f>
        <v>0.1</v>
      </c>
      <c r="T60" s="482"/>
      <c r="U60" s="482"/>
      <c r="V60" s="495"/>
      <c r="W60" s="495"/>
      <c r="X60" s="495"/>
      <c r="Y60" s="37"/>
      <c r="Z60" s="19"/>
      <c r="AA60" s="4"/>
      <c r="AH60" s="407"/>
      <c r="AI60" s="407"/>
      <c r="AJ60" s="407"/>
      <c r="AK60" s="407"/>
      <c r="AL60" s="407"/>
      <c r="AM60" s="407"/>
      <c r="AN60" s="407"/>
      <c r="AO60" s="407"/>
      <c r="AP60" s="407"/>
      <c r="AQ60" s="407"/>
      <c r="AR60" s="407"/>
      <c r="AS60" s="13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13"/>
      <c r="BQ60" s="29"/>
      <c r="BR60" s="13"/>
    </row>
    <row r="61" spans="1:70" ht="7.5" customHeight="1">
      <c r="A61" s="19"/>
      <c r="B61" s="408"/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497"/>
      <c r="P61" s="497"/>
      <c r="Q61" s="498"/>
      <c r="R61" s="4"/>
      <c r="S61" s="482"/>
      <c r="T61" s="482"/>
      <c r="U61" s="482"/>
      <c r="V61" s="495"/>
      <c r="W61" s="495"/>
      <c r="X61" s="495"/>
      <c r="Y61" s="37"/>
      <c r="Z61" s="3"/>
      <c r="AA61" s="4"/>
      <c r="AH61" s="407"/>
      <c r="AI61" s="407"/>
      <c r="AJ61" s="407"/>
      <c r="AK61" s="407"/>
      <c r="AL61" s="407"/>
      <c r="AM61" s="407"/>
      <c r="AN61" s="407"/>
      <c r="AO61" s="407"/>
      <c r="AP61" s="407"/>
      <c r="AQ61" s="407"/>
      <c r="AR61" s="407"/>
      <c r="AS61" s="13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13"/>
      <c r="BQ61" s="29"/>
      <c r="BR61" s="13"/>
    </row>
    <row r="62" spans="1:70" ht="7.5" customHeight="1">
      <c r="A62" s="16"/>
      <c r="B62" s="408" t="s">
        <v>267</v>
      </c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54" t="str">
        <f>IF(S62="ИММУНИТЕТ","100/100",IF(V62="",S62,CONCATENATE(SUM(LEFT(S62,2)*1,LEFT(V62,2)*1),"/",SUM(RIGHT(S62,2)*1,RIGHT(V62,2)*1))))</f>
        <v>00/00</v>
      </c>
      <c r="P62" s="355"/>
      <c r="Q62" s="493"/>
      <c r="R62" s="13"/>
      <c r="S62" s="471" t="str">
        <f>IF(D28=0,"",INDEX(Таблицы!F2:N10,Таблицы!K1,9))</f>
        <v>00/00</v>
      </c>
      <c r="T62" s="471"/>
      <c r="U62" s="471"/>
      <c r="V62" s="496"/>
      <c r="W62" s="496"/>
      <c r="X62" s="496"/>
      <c r="Y62" s="29"/>
      <c r="Z62" s="19"/>
      <c r="AA62" s="13"/>
      <c r="AH62" s="406" t="str">
        <f>INDEX(Таблицы!P35:W63,Таблицы!F219,Таблицы!K1)</f>
        <v> </v>
      </c>
      <c r="AI62" s="406"/>
      <c r="AJ62" s="406"/>
      <c r="AK62" s="406"/>
      <c r="AL62" s="406"/>
      <c r="AM62" s="406"/>
      <c r="AN62" s="406"/>
      <c r="AO62" s="406"/>
      <c r="AP62" s="406"/>
      <c r="AQ62" s="406"/>
      <c r="AR62" s="406"/>
      <c r="AS62" s="13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13"/>
      <c r="BQ62" s="29"/>
      <c r="BR62" s="13"/>
    </row>
    <row r="63" spans="1:70" ht="7.5" customHeight="1">
      <c r="A63" s="19"/>
      <c r="B63" s="408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57"/>
      <c r="P63" s="358"/>
      <c r="Q63" s="494"/>
      <c r="R63" s="4"/>
      <c r="S63" s="471"/>
      <c r="T63" s="471"/>
      <c r="U63" s="471"/>
      <c r="V63" s="496"/>
      <c r="W63" s="496"/>
      <c r="X63" s="496"/>
      <c r="Y63" s="37"/>
      <c r="Z63" s="19"/>
      <c r="AA63" s="4"/>
      <c r="AH63" s="406"/>
      <c r="AI63" s="406"/>
      <c r="AJ63" s="406"/>
      <c r="AK63" s="406"/>
      <c r="AL63" s="406"/>
      <c r="AM63" s="406"/>
      <c r="AN63" s="406"/>
      <c r="AO63" s="406"/>
      <c r="AP63" s="406"/>
      <c r="AQ63" s="406"/>
      <c r="AR63" s="406"/>
      <c r="AS63" s="13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2"/>
      <c r="BP63" s="13"/>
      <c r="BQ63" s="29"/>
      <c r="BR63" s="13"/>
    </row>
    <row r="64" spans="1:70" ht="7.5" customHeight="1">
      <c r="A64" s="16"/>
      <c r="B64" s="408" t="s">
        <v>268</v>
      </c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497">
        <f>SUM(S64:X65)</f>
        <v>0.1</v>
      </c>
      <c r="P64" s="497"/>
      <c r="Q64" s="498"/>
      <c r="R64" s="4"/>
      <c r="S64" s="482">
        <f>IF(D26=0,"",INDEX(Таблицы!F2:M10,Таблицы!K1,8))</f>
        <v>0.1</v>
      </c>
      <c r="T64" s="482"/>
      <c r="U64" s="482"/>
      <c r="V64" s="495"/>
      <c r="W64" s="495"/>
      <c r="X64" s="495"/>
      <c r="Y64" s="37"/>
      <c r="Z64" s="3"/>
      <c r="AA64" s="4"/>
      <c r="AH64" s="406"/>
      <c r="AI64" s="406"/>
      <c r="AJ64" s="406"/>
      <c r="AK64" s="406"/>
      <c r="AL64" s="406"/>
      <c r="AM64" s="406"/>
      <c r="AN64" s="406"/>
      <c r="AO64" s="406"/>
      <c r="AP64" s="406"/>
      <c r="AQ64" s="406"/>
      <c r="AR64" s="406"/>
      <c r="AS64" s="13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13"/>
      <c r="BQ64" s="29"/>
      <c r="BR64" s="13"/>
    </row>
    <row r="65" spans="1:70" ht="7.5" customHeight="1">
      <c r="A65" s="19"/>
      <c r="B65" s="40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497"/>
      <c r="P65" s="497"/>
      <c r="Q65" s="498"/>
      <c r="R65" s="13"/>
      <c r="S65" s="482"/>
      <c r="T65" s="482"/>
      <c r="U65" s="482"/>
      <c r="V65" s="495"/>
      <c r="W65" s="495"/>
      <c r="X65" s="495"/>
      <c r="Y65" s="29"/>
      <c r="Z65" s="19"/>
      <c r="AA65" s="13"/>
      <c r="AH65" s="406"/>
      <c r="AI65" s="406"/>
      <c r="AJ65" s="406"/>
      <c r="AK65" s="406"/>
      <c r="AL65" s="406"/>
      <c r="AM65" s="406"/>
      <c r="AN65" s="406"/>
      <c r="AO65" s="406"/>
      <c r="AP65" s="406"/>
      <c r="AQ65" s="406"/>
      <c r="AR65" s="406"/>
      <c r="AS65" s="13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13"/>
      <c r="BQ65" s="29"/>
      <c r="BR65" s="13"/>
    </row>
    <row r="66" spans="1:70" ht="7.5" customHeight="1">
      <c r="A66" s="20"/>
      <c r="B66" s="408" t="s">
        <v>269</v>
      </c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228">
        <f>SUM(S66:X67)</f>
        <v>5</v>
      </c>
      <c r="P66" s="228"/>
      <c r="Q66" s="439"/>
      <c r="R66" s="4"/>
      <c r="S66" s="471">
        <f>IF(OR(Таблицы!F218=22,Таблицы!F219=22),SUM(IF(OR(Таблицы!F218=7,Таблицы!F219=7),Таблицы!L43,D36),Таблицы!L58),IF(OR(Таблицы!F218=7,Таблицы!F219=7),Таблицы!L43,D36))</f>
        <v>5</v>
      </c>
      <c r="T66" s="471"/>
      <c r="U66" s="471"/>
      <c r="V66" s="227"/>
      <c r="W66" s="227"/>
      <c r="X66" s="227"/>
      <c r="Y66" s="37"/>
      <c r="Z66" s="19"/>
      <c r="AA66" s="4"/>
      <c r="AH66" s="406"/>
      <c r="AI66" s="406"/>
      <c r="AJ66" s="406"/>
      <c r="AK66" s="406"/>
      <c r="AL66" s="406"/>
      <c r="AM66" s="406"/>
      <c r="AN66" s="406"/>
      <c r="AO66" s="406"/>
      <c r="AP66" s="406"/>
      <c r="AQ66" s="406"/>
      <c r="AR66" s="406"/>
      <c r="AS66" s="13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13"/>
      <c r="BQ66" s="29"/>
      <c r="BR66" s="13"/>
    </row>
    <row r="67" spans="1:75" ht="7.5" customHeight="1" thickBot="1">
      <c r="A67" s="20"/>
      <c r="B67" s="337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440"/>
      <c r="P67" s="440"/>
      <c r="Q67" s="441"/>
      <c r="R67" s="4"/>
      <c r="S67" s="471"/>
      <c r="T67" s="471"/>
      <c r="U67" s="471"/>
      <c r="V67" s="227"/>
      <c r="W67" s="227"/>
      <c r="X67" s="227"/>
      <c r="Y67" s="37"/>
      <c r="Z67" s="3"/>
      <c r="AA67" s="4"/>
      <c r="AH67" s="406"/>
      <c r="AI67" s="406"/>
      <c r="AJ67" s="406"/>
      <c r="AK67" s="406"/>
      <c r="AL67" s="406"/>
      <c r="AM67" s="406"/>
      <c r="AN67" s="406"/>
      <c r="AO67" s="406"/>
      <c r="AP67" s="406"/>
      <c r="AQ67" s="406"/>
      <c r="AR67" s="406"/>
      <c r="AS67" s="13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13"/>
      <c r="BQ67" s="29"/>
      <c r="BR67" s="13"/>
      <c r="BS67" s="13"/>
      <c r="BT67" s="13"/>
      <c r="BU67" s="13"/>
      <c r="BV67" s="13"/>
      <c r="BW67" s="25"/>
    </row>
    <row r="68" spans="1:75" ht="7.5" customHeight="1" thickBot="1">
      <c r="A68" s="18"/>
      <c r="B68" s="6"/>
      <c r="C68" s="6"/>
      <c r="D68" s="6"/>
      <c r="E68" s="6"/>
      <c r="F68" s="38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3"/>
      <c r="Z68" s="32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43"/>
      <c r="BC68" s="43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3"/>
      <c r="BR68" s="13"/>
      <c r="BS68" s="13"/>
      <c r="BT68" s="13"/>
      <c r="BU68" s="13"/>
      <c r="BV68" s="13"/>
      <c r="BW68" s="25"/>
    </row>
    <row r="69" spans="1:69" ht="7.5" customHeight="1" thickBot="1">
      <c r="A69" s="34"/>
      <c r="B69" s="12"/>
      <c r="C69" s="12"/>
      <c r="D69" s="12"/>
      <c r="E69" s="12"/>
      <c r="F69" s="27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72"/>
      <c r="AC69" s="74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28"/>
    </row>
    <row r="70" spans="1:69" ht="7.5" customHeight="1">
      <c r="A70" s="19"/>
      <c r="B70" s="198" t="s">
        <v>277</v>
      </c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200"/>
      <c r="AB70" s="55"/>
      <c r="AC70" s="50"/>
      <c r="AD70" s="198" t="s">
        <v>290</v>
      </c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200"/>
      <c r="BD70" s="13"/>
      <c r="BE70" s="288" t="s">
        <v>325</v>
      </c>
      <c r="BF70" s="289"/>
      <c r="BG70" s="289"/>
      <c r="BH70" s="290"/>
      <c r="BI70" s="280" t="s">
        <v>307</v>
      </c>
      <c r="BJ70" s="280"/>
      <c r="BK70" s="280"/>
      <c r="BL70" s="280"/>
      <c r="BM70" s="280"/>
      <c r="BN70" s="280"/>
      <c r="BO70" s="280"/>
      <c r="BP70" s="281"/>
      <c r="BQ70" s="29"/>
    </row>
    <row r="71" spans="1:69" ht="7.5" customHeight="1" thickBot="1">
      <c r="A71" s="19"/>
      <c r="B71" s="201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3"/>
      <c r="AB71" s="55"/>
      <c r="AC71" s="50"/>
      <c r="AD71" s="201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3"/>
      <c r="BD71" s="13"/>
      <c r="BE71" s="291"/>
      <c r="BF71" s="292"/>
      <c r="BG71" s="292"/>
      <c r="BH71" s="293"/>
      <c r="BI71" s="282"/>
      <c r="BJ71" s="282"/>
      <c r="BK71" s="282"/>
      <c r="BL71" s="282"/>
      <c r="BM71" s="282"/>
      <c r="BN71" s="282"/>
      <c r="BO71" s="282"/>
      <c r="BP71" s="283"/>
      <c r="BQ71" s="29"/>
    </row>
    <row r="72" spans="1:69" ht="7.5" customHeight="1" thickBot="1">
      <c r="A72" s="19"/>
      <c r="B72" s="244" t="s">
        <v>292</v>
      </c>
      <c r="C72" s="245"/>
      <c r="D72" s="245"/>
      <c r="E72" s="246"/>
      <c r="F72" s="399"/>
      <c r="G72" s="400"/>
      <c r="H72" s="400"/>
      <c r="I72" s="400"/>
      <c r="J72" s="400"/>
      <c r="K72" s="400"/>
      <c r="L72" s="400"/>
      <c r="M72" s="400"/>
      <c r="N72" s="400"/>
      <c r="O72" s="400"/>
      <c r="P72" s="400"/>
      <c r="Q72" s="401"/>
      <c r="R72" s="212" t="s">
        <v>929</v>
      </c>
      <c r="S72" s="213"/>
      <c r="T72" s="225">
        <f>IF(INDEX(Таблицы!AA20:AA242,Таблицы!Y33,1)="","",INDEX(Таблицы!AA20:AA242,Таблицы!Y33,1))</f>
      </c>
      <c r="U72" s="225"/>
      <c r="V72" s="218" t="s">
        <v>942</v>
      </c>
      <c r="W72" s="219"/>
      <c r="X72" s="219"/>
      <c r="Y72" s="219"/>
      <c r="Z72" s="222" t="s">
        <v>943</v>
      </c>
      <c r="AA72" s="55"/>
      <c r="AB72" s="55"/>
      <c r="AC72" s="50"/>
      <c r="AD72" s="244" t="s">
        <v>292</v>
      </c>
      <c r="AE72" s="245"/>
      <c r="AF72" s="245"/>
      <c r="AG72" s="246"/>
      <c r="AH72" s="399"/>
      <c r="AI72" s="400"/>
      <c r="AJ72" s="400"/>
      <c r="AK72" s="400"/>
      <c r="AL72" s="400"/>
      <c r="AM72" s="400"/>
      <c r="AN72" s="400"/>
      <c r="AO72" s="400"/>
      <c r="AP72" s="400"/>
      <c r="AQ72" s="400"/>
      <c r="AR72" s="400"/>
      <c r="AS72" s="401"/>
      <c r="AT72" s="212" t="s">
        <v>929</v>
      </c>
      <c r="AU72" s="213"/>
      <c r="AV72" s="225">
        <f>IF(INDEX(Таблицы!AA20:AA242,Таблицы!Y34,1)="","",INDEX(Таблицы!AA20:AA242,Таблицы!Y34,1))</f>
      </c>
      <c r="AW72" s="225"/>
      <c r="AX72" s="218" t="s">
        <v>942</v>
      </c>
      <c r="AY72" s="219"/>
      <c r="AZ72" s="219"/>
      <c r="BA72" s="219"/>
      <c r="BB72" s="222" t="s">
        <v>943</v>
      </c>
      <c r="BC72" s="55"/>
      <c r="BD72" s="13"/>
      <c r="BE72" s="294"/>
      <c r="BF72" s="295"/>
      <c r="BG72" s="295"/>
      <c r="BH72" s="296"/>
      <c r="BI72" s="284"/>
      <c r="BJ72" s="284"/>
      <c r="BK72" s="284"/>
      <c r="BL72" s="284"/>
      <c r="BM72" s="284"/>
      <c r="BN72" s="284"/>
      <c r="BO72" s="284"/>
      <c r="BP72" s="285"/>
      <c r="BQ72" s="29"/>
    </row>
    <row r="73" spans="1:69" ht="7.5" customHeight="1">
      <c r="A73" s="19"/>
      <c r="B73" s="244"/>
      <c r="C73" s="245"/>
      <c r="D73" s="245"/>
      <c r="E73" s="246"/>
      <c r="F73" s="396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3"/>
      <c r="R73" s="214"/>
      <c r="S73" s="215"/>
      <c r="T73" s="226"/>
      <c r="U73" s="226"/>
      <c r="V73" s="220"/>
      <c r="W73" s="221"/>
      <c r="X73" s="221"/>
      <c r="Y73" s="221"/>
      <c r="Z73" s="223"/>
      <c r="AA73" s="55"/>
      <c r="AB73" s="55"/>
      <c r="AC73" s="50"/>
      <c r="AD73" s="244"/>
      <c r="AE73" s="245"/>
      <c r="AF73" s="245"/>
      <c r="AG73" s="246"/>
      <c r="AH73" s="396"/>
      <c r="AI73" s="282"/>
      <c r="AJ73" s="282"/>
      <c r="AK73" s="282"/>
      <c r="AL73" s="282"/>
      <c r="AM73" s="282"/>
      <c r="AN73" s="282"/>
      <c r="AO73" s="282"/>
      <c r="AP73" s="282"/>
      <c r="AQ73" s="282"/>
      <c r="AR73" s="282"/>
      <c r="AS73" s="283"/>
      <c r="AT73" s="214"/>
      <c r="AU73" s="215"/>
      <c r="AV73" s="226"/>
      <c r="AW73" s="226"/>
      <c r="AX73" s="220"/>
      <c r="AY73" s="221"/>
      <c r="AZ73" s="221"/>
      <c r="BA73" s="221"/>
      <c r="BB73" s="223"/>
      <c r="BC73" s="55"/>
      <c r="BD73" s="13"/>
      <c r="BE73" s="286" t="s">
        <v>308</v>
      </c>
      <c r="BF73" s="286"/>
      <c r="BG73" s="287">
        <f>IF(INDEX(Таблицы!AA483:AA515,Таблицы!Y488,1)="","",INDEX(Таблицы!AA483:AA515,Таблицы!Y488,1))</f>
      </c>
      <c r="BH73" s="287"/>
      <c r="BI73" s="172" t="s">
        <v>309</v>
      </c>
      <c r="BJ73" s="172"/>
      <c r="BK73" s="228">
        <f>IF(INDEX(Таблицы!AB483:AB515,Таблицы!Y488,1)="","",INDEX(Таблицы!AB483:AB515,Таблицы!Y488,1))</f>
      </c>
      <c r="BL73" s="228"/>
      <c r="BM73" s="172" t="s">
        <v>310</v>
      </c>
      <c r="BN73" s="172"/>
      <c r="BO73" s="228">
        <f>IF(INDEX(Таблицы!AC483:AC515,Таблицы!Y488,1)="","",INDEX(Таблицы!AC483:AC515,Таблицы!Y488,1))</f>
      </c>
      <c r="BP73" s="228"/>
      <c r="BQ73" s="29"/>
    </row>
    <row r="74" spans="1:69" ht="7.5" customHeight="1">
      <c r="A74" s="19"/>
      <c r="B74" s="247"/>
      <c r="C74" s="248"/>
      <c r="D74" s="248"/>
      <c r="E74" s="249"/>
      <c r="F74" s="397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5"/>
      <c r="R74" s="216"/>
      <c r="S74" s="217"/>
      <c r="T74" s="226"/>
      <c r="U74" s="226"/>
      <c r="V74" s="50"/>
      <c r="W74" s="13"/>
      <c r="X74" s="13"/>
      <c r="Y74" s="13"/>
      <c r="Z74" s="13"/>
      <c r="AA74" s="55"/>
      <c r="AB74" s="55"/>
      <c r="AC74" s="50"/>
      <c r="AD74" s="247"/>
      <c r="AE74" s="248"/>
      <c r="AF74" s="248"/>
      <c r="AG74" s="249"/>
      <c r="AH74" s="397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5"/>
      <c r="AT74" s="216"/>
      <c r="AU74" s="217"/>
      <c r="AV74" s="226"/>
      <c r="AW74" s="226"/>
      <c r="AX74" s="50"/>
      <c r="AY74" s="13"/>
      <c r="AZ74" s="13"/>
      <c r="BA74" s="13"/>
      <c r="BB74" s="13"/>
      <c r="BC74" s="55"/>
      <c r="BD74" s="13"/>
      <c r="BE74" s="172"/>
      <c r="BF74" s="172"/>
      <c r="BG74" s="228"/>
      <c r="BH74" s="228"/>
      <c r="BI74" s="172"/>
      <c r="BJ74" s="172"/>
      <c r="BK74" s="228"/>
      <c r="BL74" s="228"/>
      <c r="BM74" s="172"/>
      <c r="BN74" s="172"/>
      <c r="BO74" s="228"/>
      <c r="BP74" s="228"/>
      <c r="BQ74" s="29"/>
    </row>
    <row r="75" spans="1:69" ht="7.5" customHeight="1">
      <c r="A75" s="19"/>
      <c r="B75" s="172" t="s">
        <v>278</v>
      </c>
      <c r="C75" s="170">
        <f>IF(INDEX(Таблицы!AB20:AB242,Таблицы!Y33,1)="","",INDEX(Таблицы!AB20:AB242,Таблицы!Y33,1))</f>
      </c>
      <c r="D75" s="171"/>
      <c r="E75" s="169"/>
      <c r="F75" s="172" t="s">
        <v>279</v>
      </c>
      <c r="G75" s="172"/>
      <c r="H75" s="163">
        <f>IF(INDEX(Таблицы!AC20:AC242,Таблицы!Y33,1)="","",INDEX(Таблицы!AC20:AC242,Таблицы!Y33,1))</f>
      </c>
      <c r="I75" s="164"/>
      <c r="J75" s="164"/>
      <c r="K75" s="164"/>
      <c r="L75" s="164"/>
      <c r="M75" s="164"/>
      <c r="N75" s="164"/>
      <c r="O75" s="165"/>
      <c r="P75" s="172" t="s">
        <v>280</v>
      </c>
      <c r="Q75" s="172"/>
      <c r="R75" s="354">
        <f>IF(INDEX(Таблицы!AD20:AD242,Таблицы!Y33,1)="","",INDEX(Таблицы!AD20:AD242,Таблицы!Y33,1))</f>
      </c>
      <c r="S75" s="355"/>
      <c r="T75" s="355"/>
      <c r="U75" s="356"/>
      <c r="V75" s="50"/>
      <c r="W75" s="13"/>
      <c r="X75" s="13"/>
      <c r="Y75" s="13"/>
      <c r="Z75" s="13"/>
      <c r="AA75" s="55"/>
      <c r="AB75" s="55"/>
      <c r="AC75" s="50"/>
      <c r="AD75" s="172" t="s">
        <v>278</v>
      </c>
      <c r="AE75" s="170">
        <f>IF(INDEX(Таблицы!AB20:AB242,Таблицы!Y34,1)="","",INDEX(Таблицы!AB20:AB242,Таблицы!Y34,1))</f>
      </c>
      <c r="AF75" s="171"/>
      <c r="AG75" s="169"/>
      <c r="AH75" s="172" t="s">
        <v>279</v>
      </c>
      <c r="AI75" s="172"/>
      <c r="AJ75" s="163">
        <f>IF(INDEX(Таблицы!AC20:AC242,Таблицы!Y34,1)="","",INDEX(Таблицы!AC20:AC242,Таблицы!Y34,1))</f>
      </c>
      <c r="AK75" s="164"/>
      <c r="AL75" s="164"/>
      <c r="AM75" s="164"/>
      <c r="AN75" s="164"/>
      <c r="AO75" s="164"/>
      <c r="AP75" s="164"/>
      <c r="AQ75" s="165"/>
      <c r="AR75" s="172" t="s">
        <v>280</v>
      </c>
      <c r="AS75" s="172"/>
      <c r="AT75" s="354">
        <f>IF(INDEX(Таблицы!AD20:AD242,Таблицы!Y34,1)="","",INDEX(Таблицы!AD20:AD242,Таблицы!Y34,1))</f>
      </c>
      <c r="AU75" s="355"/>
      <c r="AV75" s="355"/>
      <c r="AW75" s="356"/>
      <c r="AX75" s="50"/>
      <c r="AY75" s="13"/>
      <c r="AZ75" s="13"/>
      <c r="BA75" s="13"/>
      <c r="BB75" s="13"/>
      <c r="BC75" s="55"/>
      <c r="BD75" s="13"/>
      <c r="BE75" s="172" t="s">
        <v>311</v>
      </c>
      <c r="BF75" s="172"/>
      <c r="BG75" s="228">
        <f>IF(INDEX(Таблицы!AD483:AD515,Таблицы!Y488,1)="","",INDEX(Таблицы!AD483:AD515,Таблицы!Y488,1))</f>
      </c>
      <c r="BH75" s="228"/>
      <c r="BI75" s="172" t="s">
        <v>312</v>
      </c>
      <c r="BJ75" s="172"/>
      <c r="BK75" s="228">
        <f>IF(INDEX(Таблицы!AE483:AE515,Таблицы!Y488,1)="","",INDEX(Таблицы!AE483:AE515,Таблицы!Y488,1))</f>
      </c>
      <c r="BL75" s="228"/>
      <c r="BM75" s="172" t="s">
        <v>313</v>
      </c>
      <c r="BN75" s="172"/>
      <c r="BO75" s="228">
        <f>IF(INDEX(Таблицы!AF483:AF515,Таблицы!Y488,1)="","",INDEX(Таблицы!AF483:AF515,Таблицы!Y488,1))</f>
      </c>
      <c r="BP75" s="228"/>
      <c r="BQ75" s="29"/>
    </row>
    <row r="76" spans="1:69" ht="7.5" customHeight="1">
      <c r="A76" s="19"/>
      <c r="B76" s="172"/>
      <c r="C76" s="168"/>
      <c r="D76" s="166"/>
      <c r="E76" s="167"/>
      <c r="F76" s="172"/>
      <c r="G76" s="172"/>
      <c r="H76" s="162"/>
      <c r="I76" s="196"/>
      <c r="J76" s="196"/>
      <c r="K76" s="196"/>
      <c r="L76" s="196"/>
      <c r="M76" s="196"/>
      <c r="N76" s="196"/>
      <c r="O76" s="197"/>
      <c r="P76" s="172"/>
      <c r="Q76" s="172"/>
      <c r="R76" s="357"/>
      <c r="S76" s="358"/>
      <c r="T76" s="358"/>
      <c r="U76" s="359"/>
      <c r="V76" s="360" t="s">
        <v>100</v>
      </c>
      <c r="W76" s="361"/>
      <c r="X76" s="224">
        <v>1</v>
      </c>
      <c r="Y76" s="224"/>
      <c r="Z76" s="224">
        <v>2</v>
      </c>
      <c r="AA76" s="224"/>
      <c r="AB76" s="55"/>
      <c r="AC76" s="50"/>
      <c r="AD76" s="172"/>
      <c r="AE76" s="168"/>
      <c r="AF76" s="166"/>
      <c r="AG76" s="167"/>
      <c r="AH76" s="172"/>
      <c r="AI76" s="172"/>
      <c r="AJ76" s="162"/>
      <c r="AK76" s="196"/>
      <c r="AL76" s="196"/>
      <c r="AM76" s="196"/>
      <c r="AN76" s="196"/>
      <c r="AO76" s="196"/>
      <c r="AP76" s="196"/>
      <c r="AQ76" s="197"/>
      <c r="AR76" s="172"/>
      <c r="AS76" s="172"/>
      <c r="AT76" s="357"/>
      <c r="AU76" s="358"/>
      <c r="AV76" s="358"/>
      <c r="AW76" s="359"/>
      <c r="AX76" s="360" t="s">
        <v>100</v>
      </c>
      <c r="AY76" s="361"/>
      <c r="AZ76" s="224">
        <v>1</v>
      </c>
      <c r="BA76" s="224"/>
      <c r="BB76" s="224">
        <v>2</v>
      </c>
      <c r="BC76" s="224"/>
      <c r="BD76" s="13"/>
      <c r="BE76" s="172"/>
      <c r="BF76" s="172"/>
      <c r="BG76" s="228"/>
      <c r="BH76" s="228"/>
      <c r="BI76" s="172"/>
      <c r="BJ76" s="172"/>
      <c r="BK76" s="228"/>
      <c r="BL76" s="228"/>
      <c r="BM76" s="172"/>
      <c r="BN76" s="172"/>
      <c r="BO76" s="228"/>
      <c r="BP76" s="228"/>
      <c r="BQ76" s="29"/>
    </row>
    <row r="77" spans="1:69" ht="7.5" customHeight="1">
      <c r="A77" s="19"/>
      <c r="B77" s="172" t="s">
        <v>281</v>
      </c>
      <c r="C77" s="172"/>
      <c r="D77" s="172" t="s">
        <v>282</v>
      </c>
      <c r="E77" s="228">
        <f>IF(INDEX(Таблицы!AE20:AE242,Таблицы!Y33,1)="","",INDEX(Таблицы!AE20:AE242,Таблицы!Y33,1))</f>
      </c>
      <c r="F77" s="228"/>
      <c r="G77" s="172" t="s">
        <v>283</v>
      </c>
      <c r="H77" s="228">
        <f>IF(INDEX(Таблицы!AF20:AF242,Таблицы!Y33,1)="","",INDEX(Таблицы!AF20:AF242,Таблицы!Y33,1))</f>
      </c>
      <c r="I77" s="228"/>
      <c r="J77" s="172" t="s">
        <v>284</v>
      </c>
      <c r="K77" s="228">
        <f>IF(INDEX(Таблицы!AG20:AG242,Таблицы!Y33,1)="","",INDEX(Таблицы!AG20:AG242,Таблицы!Y33,1))</f>
      </c>
      <c r="L77" s="228"/>
      <c r="M77" s="172" t="s">
        <v>99</v>
      </c>
      <c r="N77" s="172"/>
      <c r="O77" s="172"/>
      <c r="P77" s="172"/>
      <c r="Q77" s="172"/>
      <c r="R77" s="172"/>
      <c r="S77" s="172"/>
      <c r="T77" s="228">
        <f>IF(INDEX(Таблицы!AH20:AH242,Таблицы!Y33,1)="","",INDEX(Таблицы!AH20:AH242,Таблицы!Y33,1))</f>
      </c>
      <c r="U77" s="228"/>
      <c r="V77" s="360"/>
      <c r="W77" s="361"/>
      <c r="X77" s="224"/>
      <c r="Y77" s="224"/>
      <c r="Z77" s="224"/>
      <c r="AA77" s="224"/>
      <c r="AB77" s="55"/>
      <c r="AC77" s="50"/>
      <c r="AD77" s="172" t="s">
        <v>281</v>
      </c>
      <c r="AE77" s="172"/>
      <c r="AF77" s="172" t="s">
        <v>282</v>
      </c>
      <c r="AG77" s="228">
        <f>IF(INDEX(Таблицы!AE20:AE242,Таблицы!Y34,1)="","",INDEX(Таблицы!AE20:AE242,Таблицы!Y34,1))</f>
      </c>
      <c r="AH77" s="228"/>
      <c r="AI77" s="172" t="s">
        <v>283</v>
      </c>
      <c r="AJ77" s="228">
        <f>IF(INDEX(Таблицы!AF20:AF242,Таблицы!Y34,1)="","",INDEX(Таблицы!AF20:AF242,Таблицы!Y34,1))</f>
      </c>
      <c r="AK77" s="228"/>
      <c r="AL77" s="172" t="s">
        <v>284</v>
      </c>
      <c r="AM77" s="228">
        <f>IF(INDEX(Таблицы!AG20:AG242,Таблицы!Y34,1)="","",INDEX(Таблицы!AG20:AG242,Таблицы!Y34,1))</f>
      </c>
      <c r="AN77" s="228"/>
      <c r="AO77" s="172" t="s">
        <v>99</v>
      </c>
      <c r="AP77" s="172"/>
      <c r="AQ77" s="172"/>
      <c r="AR77" s="172"/>
      <c r="AS77" s="172"/>
      <c r="AT77" s="172"/>
      <c r="AU77" s="172"/>
      <c r="AV77" s="228">
        <f>IF(INDEX(Таблицы!AH20:AH242,Таблицы!Y34,1)="","",INDEX(Таблицы!AH20:AH242,Таблицы!Y34,1))</f>
      </c>
      <c r="AW77" s="228"/>
      <c r="AX77" s="360"/>
      <c r="AY77" s="361"/>
      <c r="AZ77" s="224"/>
      <c r="BA77" s="224"/>
      <c r="BB77" s="224"/>
      <c r="BC77" s="224"/>
      <c r="BD77" s="13"/>
      <c r="BE77" s="172" t="s">
        <v>314</v>
      </c>
      <c r="BF77" s="172"/>
      <c r="BG77" s="354">
        <f>IF(INDEX(Таблицы!AG483:AG515,Таблицы!Y488,1)="","",INDEX(Таблицы!AG483:AG515,Таблицы!Y488,1))</f>
      </c>
      <c r="BH77" s="355"/>
      <c r="BI77" s="355"/>
      <c r="BJ77" s="356"/>
      <c r="BK77" s="327" t="s">
        <v>323</v>
      </c>
      <c r="BL77" s="328"/>
      <c r="BM77" s="342"/>
      <c r="BN77" s="343"/>
      <c r="BO77" s="338">
        <f>IF(INDEX(Таблицы!AS483:AS515,Таблицы!Y488,1)="","",INDEX(Таблицы!AS483:AS515,Таблицы!Y488,1))</f>
      </c>
      <c r="BP77" s="339"/>
      <c r="BQ77" s="29"/>
    </row>
    <row r="78" spans="1:69" ht="7.5" customHeight="1">
      <c r="A78" s="19"/>
      <c r="B78" s="172"/>
      <c r="C78" s="172"/>
      <c r="D78" s="172"/>
      <c r="E78" s="228"/>
      <c r="F78" s="228"/>
      <c r="G78" s="172"/>
      <c r="H78" s="228"/>
      <c r="I78" s="228"/>
      <c r="J78" s="172"/>
      <c r="K78" s="228"/>
      <c r="L78" s="228"/>
      <c r="M78" s="172"/>
      <c r="N78" s="172"/>
      <c r="O78" s="172"/>
      <c r="P78" s="172"/>
      <c r="Q78" s="172"/>
      <c r="R78" s="172"/>
      <c r="S78" s="172"/>
      <c r="T78" s="228"/>
      <c r="U78" s="228"/>
      <c r="V78" s="360"/>
      <c r="W78" s="361"/>
      <c r="X78" s="224">
        <v>3</v>
      </c>
      <c r="Y78" s="224"/>
      <c r="Z78" s="224">
        <v>4</v>
      </c>
      <c r="AA78" s="224"/>
      <c r="AB78" s="55"/>
      <c r="AC78" s="50"/>
      <c r="AD78" s="172"/>
      <c r="AE78" s="172"/>
      <c r="AF78" s="172"/>
      <c r="AG78" s="228"/>
      <c r="AH78" s="228"/>
      <c r="AI78" s="172"/>
      <c r="AJ78" s="228"/>
      <c r="AK78" s="228"/>
      <c r="AL78" s="172"/>
      <c r="AM78" s="228"/>
      <c r="AN78" s="228"/>
      <c r="AO78" s="172"/>
      <c r="AP78" s="172"/>
      <c r="AQ78" s="172"/>
      <c r="AR78" s="172"/>
      <c r="AS78" s="172"/>
      <c r="AT78" s="172"/>
      <c r="AU78" s="172"/>
      <c r="AV78" s="228"/>
      <c r="AW78" s="228"/>
      <c r="AX78" s="360"/>
      <c r="AY78" s="361"/>
      <c r="AZ78" s="224">
        <v>3</v>
      </c>
      <c r="BA78" s="224"/>
      <c r="BB78" s="224">
        <v>4</v>
      </c>
      <c r="BC78" s="224"/>
      <c r="BD78" s="13"/>
      <c r="BE78" s="172"/>
      <c r="BF78" s="172"/>
      <c r="BG78" s="357"/>
      <c r="BH78" s="358"/>
      <c r="BI78" s="358"/>
      <c r="BJ78" s="359"/>
      <c r="BK78" s="329"/>
      <c r="BL78" s="330"/>
      <c r="BM78" s="344"/>
      <c r="BN78" s="345"/>
      <c r="BO78" s="340"/>
      <c r="BP78" s="341"/>
      <c r="BQ78" s="29"/>
    </row>
    <row r="79" spans="1:69" ht="7.5" customHeight="1">
      <c r="A79" s="19"/>
      <c r="B79" s="241" t="s">
        <v>930</v>
      </c>
      <c r="C79" s="242"/>
      <c r="D79" s="243"/>
      <c r="E79" s="242"/>
      <c r="F79" s="242"/>
      <c r="G79" s="242"/>
      <c r="H79" s="242"/>
      <c r="I79" s="242"/>
      <c r="J79" s="242"/>
      <c r="K79" s="242"/>
      <c r="L79" s="242"/>
      <c r="M79" s="243"/>
      <c r="N79" s="250" t="s">
        <v>298</v>
      </c>
      <c r="O79" s="251"/>
      <c r="P79" s="225">
        <f>IF(INDEX(Таблицы!AB245:AB323,Таблицы!Y257,1)="","",INDEX(Таблицы!AB245:AB323,Таблицы!Y257,1))</f>
      </c>
      <c r="Q79" s="225"/>
      <c r="R79" s="250" t="s">
        <v>831</v>
      </c>
      <c r="S79" s="251"/>
      <c r="T79" s="225">
        <f>IF(INDEX(Таблицы!AC245:AC323,Таблицы!Y257,1)="","",INDEX(Таблицы!AC245:AC323,Таблицы!Y257,1))</f>
      </c>
      <c r="U79" s="225"/>
      <c r="V79" s="360"/>
      <c r="W79" s="361"/>
      <c r="X79" s="224"/>
      <c r="Y79" s="224"/>
      <c r="Z79" s="224"/>
      <c r="AA79" s="224"/>
      <c r="AB79" s="55"/>
      <c r="AC79" s="50"/>
      <c r="AD79" s="241" t="s">
        <v>930</v>
      </c>
      <c r="AE79" s="242"/>
      <c r="AF79" s="243"/>
      <c r="AG79" s="242"/>
      <c r="AH79" s="242"/>
      <c r="AI79" s="242"/>
      <c r="AJ79" s="242"/>
      <c r="AK79" s="242"/>
      <c r="AL79" s="242"/>
      <c r="AM79" s="242"/>
      <c r="AN79" s="242"/>
      <c r="AO79" s="243"/>
      <c r="AP79" s="250" t="s">
        <v>298</v>
      </c>
      <c r="AQ79" s="251"/>
      <c r="AR79" s="225">
        <f>IF(INDEX(Таблицы!AB245:AB323,Таблицы!Y258,1)="","",INDEX(Таблицы!AB245:AB323,Таблицы!Y258,1))</f>
      </c>
      <c r="AS79" s="225"/>
      <c r="AT79" s="250" t="s">
        <v>831</v>
      </c>
      <c r="AU79" s="251"/>
      <c r="AV79" s="225">
        <f>IF(INDEX(Таблицы!AC245:AC323,Таблицы!Y258,1)="","",INDEX(Таблицы!AC245:AC323,Таблицы!Y258,1))</f>
      </c>
      <c r="AW79" s="225"/>
      <c r="AX79" s="360"/>
      <c r="AY79" s="361"/>
      <c r="AZ79" s="224"/>
      <c r="BA79" s="224"/>
      <c r="BB79" s="224"/>
      <c r="BC79" s="224"/>
      <c r="BD79" s="13"/>
      <c r="BE79" s="297" t="s">
        <v>223</v>
      </c>
      <c r="BF79" s="297"/>
      <c r="BG79" s="297"/>
      <c r="BH79" s="172" t="s">
        <v>282</v>
      </c>
      <c r="BI79" s="228">
        <f>IF(INDEX(Таблицы!AN483:AN515,Таблицы!Y488,1)="","",INDEX(Таблицы!AN483:AN515,Таблицы!Y488,1))</f>
      </c>
      <c r="BJ79" s="228"/>
      <c r="BK79" s="172" t="s">
        <v>322</v>
      </c>
      <c r="BL79" s="228">
        <f>IF(INDEX(Таблицы!AO483:AO515,Таблицы!Y488,1)="","",INDEX(Таблицы!AO483:AO515,Таблицы!Y488,1))</f>
      </c>
      <c r="BM79" s="228"/>
      <c r="BN79" s="172" t="s">
        <v>284</v>
      </c>
      <c r="BO79" s="228">
        <f>IF(INDEX(Таблицы!AP483:AP515,Таблицы!Y488,1)="","",INDEX(Таблицы!AP483:AP515,Таблицы!Y488,1))</f>
      </c>
      <c r="BP79" s="228"/>
      <c r="BQ79" s="29"/>
    </row>
    <row r="80" spans="1:69" ht="7.5" customHeight="1">
      <c r="A80" s="19"/>
      <c r="B80" s="244"/>
      <c r="C80" s="245"/>
      <c r="D80" s="246"/>
      <c r="E80" s="245"/>
      <c r="F80" s="245"/>
      <c r="G80" s="245"/>
      <c r="H80" s="245"/>
      <c r="I80" s="245"/>
      <c r="J80" s="245"/>
      <c r="K80" s="245"/>
      <c r="L80" s="245"/>
      <c r="M80" s="246"/>
      <c r="N80" s="214"/>
      <c r="O80" s="252"/>
      <c r="P80" s="226"/>
      <c r="Q80" s="226"/>
      <c r="R80" s="214"/>
      <c r="S80" s="252"/>
      <c r="T80" s="226"/>
      <c r="U80" s="226"/>
      <c r="V80" s="360"/>
      <c r="W80" s="361"/>
      <c r="X80" s="224">
        <v>5</v>
      </c>
      <c r="Y80" s="224"/>
      <c r="Z80" s="224">
        <v>6</v>
      </c>
      <c r="AA80" s="224"/>
      <c r="AB80" s="55"/>
      <c r="AC80" s="50"/>
      <c r="AD80" s="244"/>
      <c r="AE80" s="245"/>
      <c r="AF80" s="246"/>
      <c r="AG80" s="245"/>
      <c r="AH80" s="245"/>
      <c r="AI80" s="245"/>
      <c r="AJ80" s="245"/>
      <c r="AK80" s="245"/>
      <c r="AL80" s="245"/>
      <c r="AM80" s="245"/>
      <c r="AN80" s="245"/>
      <c r="AO80" s="246"/>
      <c r="AP80" s="214"/>
      <c r="AQ80" s="252"/>
      <c r="AR80" s="226"/>
      <c r="AS80" s="226"/>
      <c r="AT80" s="214"/>
      <c r="AU80" s="252"/>
      <c r="AV80" s="226"/>
      <c r="AW80" s="226"/>
      <c r="AX80" s="360"/>
      <c r="AY80" s="361"/>
      <c r="AZ80" s="224">
        <v>5</v>
      </c>
      <c r="BA80" s="224"/>
      <c r="BB80" s="224">
        <v>6</v>
      </c>
      <c r="BC80" s="224"/>
      <c r="BD80" s="13"/>
      <c r="BE80" s="297"/>
      <c r="BF80" s="297"/>
      <c r="BG80" s="297"/>
      <c r="BH80" s="172"/>
      <c r="BI80" s="228"/>
      <c r="BJ80" s="228"/>
      <c r="BK80" s="172"/>
      <c r="BL80" s="228"/>
      <c r="BM80" s="228"/>
      <c r="BN80" s="172"/>
      <c r="BO80" s="228"/>
      <c r="BP80" s="228"/>
      <c r="BQ80" s="29"/>
    </row>
    <row r="81" spans="1:69" ht="7.5" customHeight="1">
      <c r="A81" s="19"/>
      <c r="B81" s="247"/>
      <c r="C81" s="248"/>
      <c r="D81" s="249"/>
      <c r="E81" s="248"/>
      <c r="F81" s="248"/>
      <c r="G81" s="248"/>
      <c r="H81" s="248"/>
      <c r="I81" s="248"/>
      <c r="J81" s="248"/>
      <c r="K81" s="248"/>
      <c r="L81" s="248"/>
      <c r="M81" s="249"/>
      <c r="N81" s="216"/>
      <c r="O81" s="253"/>
      <c r="P81" s="226"/>
      <c r="Q81" s="226"/>
      <c r="R81" s="216"/>
      <c r="S81" s="253"/>
      <c r="T81" s="226"/>
      <c r="U81" s="226"/>
      <c r="V81" s="360"/>
      <c r="W81" s="361"/>
      <c r="X81" s="224"/>
      <c r="Y81" s="224"/>
      <c r="Z81" s="224"/>
      <c r="AA81" s="224"/>
      <c r="AB81" s="55"/>
      <c r="AC81" s="50"/>
      <c r="AD81" s="247"/>
      <c r="AE81" s="248"/>
      <c r="AF81" s="249"/>
      <c r="AG81" s="248"/>
      <c r="AH81" s="248"/>
      <c r="AI81" s="248"/>
      <c r="AJ81" s="248"/>
      <c r="AK81" s="248"/>
      <c r="AL81" s="248"/>
      <c r="AM81" s="248"/>
      <c r="AN81" s="248"/>
      <c r="AO81" s="249"/>
      <c r="AP81" s="216"/>
      <c r="AQ81" s="253"/>
      <c r="AR81" s="226"/>
      <c r="AS81" s="226"/>
      <c r="AT81" s="216"/>
      <c r="AU81" s="253"/>
      <c r="AV81" s="226"/>
      <c r="AW81" s="226"/>
      <c r="AX81" s="360"/>
      <c r="AY81" s="361"/>
      <c r="AZ81" s="224"/>
      <c r="BA81" s="224"/>
      <c r="BB81" s="224"/>
      <c r="BC81" s="224"/>
      <c r="BD81" s="13"/>
      <c r="BE81" s="297"/>
      <c r="BF81" s="297"/>
      <c r="BG81" s="297"/>
      <c r="BH81" s="172" t="s">
        <v>283</v>
      </c>
      <c r="BI81" s="228">
        <f>IF(INDEX(Таблицы!AQ483:AQ515,Таблицы!Y488,1)="","",INDEX(Таблицы!AQ483:AQ515,Таблицы!Y488,1))</f>
      </c>
      <c r="BJ81" s="228"/>
      <c r="BK81" s="172" t="s">
        <v>278</v>
      </c>
      <c r="BL81" s="255">
        <f>IF(INDEX(Таблицы!AR483:AR515,Таблицы!Y488,1)="","",INDEX(Таблицы!AR483:AR515,Таблицы!Y488,1))</f>
      </c>
      <c r="BM81" s="256"/>
      <c r="BN81" s="256"/>
      <c r="BO81" s="256"/>
      <c r="BP81" s="257"/>
      <c r="BQ81" s="29"/>
    </row>
    <row r="82" spans="1:69" ht="7.5" customHeight="1">
      <c r="A82" s="19"/>
      <c r="B82" s="172" t="s">
        <v>279</v>
      </c>
      <c r="C82" s="172"/>
      <c r="D82" s="229">
        <f>IF(INDEX(Таблицы!AE245:AE323,Таблицы!Y257,1)="","",INDEX(Таблицы!AE245:AE323,Таблицы!Y257,1))</f>
      </c>
      <c r="E82" s="230"/>
      <c r="F82" s="230"/>
      <c r="G82" s="230"/>
      <c r="H82" s="231"/>
      <c r="I82" s="235" t="s">
        <v>832</v>
      </c>
      <c r="J82" s="236"/>
      <c r="K82" s="237"/>
      <c r="L82" s="229">
        <f>IF(INDEX(Таблицы!AF245:AF323,Таблицы!Y257,1)="","",INDEX(Таблицы!AF245:AF323,Таблицы!Y257,1))</f>
      </c>
      <c r="M82" s="230"/>
      <c r="N82" s="230"/>
      <c r="O82" s="230"/>
      <c r="P82" s="230"/>
      <c r="Q82" s="230"/>
      <c r="R82" s="230"/>
      <c r="S82" s="230"/>
      <c r="T82" s="230"/>
      <c r="U82" s="231"/>
      <c r="V82" s="360"/>
      <c r="W82" s="361"/>
      <c r="X82" s="224">
        <v>7</v>
      </c>
      <c r="Y82" s="224"/>
      <c r="Z82" s="224">
        <v>8</v>
      </c>
      <c r="AA82" s="224"/>
      <c r="AB82" s="55"/>
      <c r="AC82" s="50"/>
      <c r="AD82" s="172" t="s">
        <v>279</v>
      </c>
      <c r="AE82" s="172"/>
      <c r="AF82" s="229">
        <f>IF(INDEX(Таблицы!AE245:AE323,Таблицы!Y258,1)="","",INDEX(Таблицы!AE245:AE323,Таблицы!Y258,1))</f>
      </c>
      <c r="AG82" s="230"/>
      <c r="AH82" s="230"/>
      <c r="AI82" s="230"/>
      <c r="AJ82" s="231"/>
      <c r="AK82" s="235" t="s">
        <v>832</v>
      </c>
      <c r="AL82" s="236"/>
      <c r="AM82" s="237"/>
      <c r="AN82" s="229">
        <f>IF(INDEX(Таблицы!AF245:AF323,Таблицы!Y258,1)="","",INDEX(Таблицы!AF245:AF323,Таблицы!Y258,1))</f>
      </c>
      <c r="AO82" s="230"/>
      <c r="AP82" s="230"/>
      <c r="AQ82" s="230"/>
      <c r="AR82" s="230"/>
      <c r="AS82" s="230"/>
      <c r="AT82" s="230"/>
      <c r="AU82" s="230"/>
      <c r="AV82" s="230"/>
      <c r="AW82" s="231"/>
      <c r="AX82" s="360"/>
      <c r="AY82" s="361"/>
      <c r="AZ82" s="224">
        <v>7</v>
      </c>
      <c r="BA82" s="224"/>
      <c r="BB82" s="224">
        <v>8</v>
      </c>
      <c r="BC82" s="224"/>
      <c r="BD82" s="13"/>
      <c r="BE82" s="297"/>
      <c r="BF82" s="297"/>
      <c r="BG82" s="297"/>
      <c r="BH82" s="172"/>
      <c r="BI82" s="228"/>
      <c r="BJ82" s="228"/>
      <c r="BK82" s="172"/>
      <c r="BL82" s="258"/>
      <c r="BM82" s="259"/>
      <c r="BN82" s="259"/>
      <c r="BO82" s="259"/>
      <c r="BP82" s="260"/>
      <c r="BQ82" s="29"/>
    </row>
    <row r="83" spans="1:69" ht="7.5" customHeight="1">
      <c r="A83" s="19"/>
      <c r="B83" s="172"/>
      <c r="C83" s="172"/>
      <c r="D83" s="232"/>
      <c r="E83" s="233"/>
      <c r="F83" s="233"/>
      <c r="G83" s="233"/>
      <c r="H83" s="234"/>
      <c r="I83" s="238"/>
      <c r="J83" s="239"/>
      <c r="K83" s="240"/>
      <c r="L83" s="232"/>
      <c r="M83" s="233"/>
      <c r="N83" s="233"/>
      <c r="O83" s="233"/>
      <c r="P83" s="233"/>
      <c r="Q83" s="233"/>
      <c r="R83" s="233"/>
      <c r="S83" s="233"/>
      <c r="T83" s="233"/>
      <c r="U83" s="234"/>
      <c r="V83" s="360"/>
      <c r="W83" s="361"/>
      <c r="X83" s="224"/>
      <c r="Y83" s="224"/>
      <c r="Z83" s="224"/>
      <c r="AA83" s="224"/>
      <c r="AB83" s="55"/>
      <c r="AC83" s="50"/>
      <c r="AD83" s="172"/>
      <c r="AE83" s="172"/>
      <c r="AF83" s="232"/>
      <c r="AG83" s="233"/>
      <c r="AH83" s="233"/>
      <c r="AI83" s="233"/>
      <c r="AJ83" s="234"/>
      <c r="AK83" s="238"/>
      <c r="AL83" s="239"/>
      <c r="AM83" s="240"/>
      <c r="AN83" s="232"/>
      <c r="AO83" s="233"/>
      <c r="AP83" s="233"/>
      <c r="AQ83" s="233"/>
      <c r="AR83" s="233"/>
      <c r="AS83" s="233"/>
      <c r="AT83" s="233"/>
      <c r="AU83" s="233"/>
      <c r="AV83" s="233"/>
      <c r="AW83" s="234"/>
      <c r="AX83" s="360"/>
      <c r="AY83" s="361"/>
      <c r="AZ83" s="224"/>
      <c r="BA83" s="224"/>
      <c r="BB83" s="224"/>
      <c r="BC83" s="224"/>
      <c r="BD83" s="13"/>
      <c r="BE83" s="297" t="s">
        <v>320</v>
      </c>
      <c r="BF83" s="297"/>
      <c r="BG83" s="297"/>
      <c r="BH83" s="172" t="s">
        <v>315</v>
      </c>
      <c r="BI83" s="228">
        <f>IF(INDEX(Таблицы!AH483:AH515,Таблицы!Y488,1)="","",INDEX(Таблицы!AH483:AH515,Таблицы!Y488,1))</f>
      </c>
      <c r="BJ83" s="228"/>
      <c r="BK83" s="172" t="s">
        <v>316</v>
      </c>
      <c r="BL83" s="228">
        <f>IF(INDEX(Таблицы!AI483:AI515,Таблицы!Y488,1)="","",INDEX(Таблицы!AI483:AI515,Таблицы!Y488,1))</f>
      </c>
      <c r="BM83" s="228"/>
      <c r="BN83" s="172" t="s">
        <v>317</v>
      </c>
      <c r="BO83" s="228">
        <f>IF(INDEX(Таблицы!AJ483:AJ515,Таблицы!Y488,1)="","",INDEX(Таблицы!AJ483:AJ515,Таблицы!Y488,1))</f>
      </c>
      <c r="BP83" s="228"/>
      <c r="BQ83" s="29"/>
    </row>
    <row r="84" spans="1:69" ht="7.5" customHeight="1">
      <c r="A84" s="19"/>
      <c r="B84" s="398" t="s">
        <v>288</v>
      </c>
      <c r="C84" s="398"/>
      <c r="D84" s="398"/>
      <c r="E84" s="398"/>
      <c r="F84" s="398"/>
      <c r="G84" s="398"/>
      <c r="H84" s="398"/>
      <c r="I84" s="398"/>
      <c r="J84" s="227"/>
      <c r="K84" s="227"/>
      <c r="L84" s="172" t="s">
        <v>286</v>
      </c>
      <c r="M84" s="172"/>
      <c r="N84" s="172"/>
      <c r="O84" s="228">
        <f>IF(INDEX(Таблицы!AI20:AI242,Таблицы!Y33,1)="","",INDEX(Таблицы!AI20:AI242,Таблицы!Y33,1))</f>
      </c>
      <c r="P84" s="228"/>
      <c r="Q84" s="172" t="s">
        <v>287</v>
      </c>
      <c r="R84" s="172"/>
      <c r="S84" s="172"/>
      <c r="T84" s="227"/>
      <c r="U84" s="227"/>
      <c r="V84" s="360"/>
      <c r="W84" s="361"/>
      <c r="X84" s="224">
        <v>9</v>
      </c>
      <c r="Y84" s="224"/>
      <c r="Z84" s="224">
        <v>10</v>
      </c>
      <c r="AA84" s="224"/>
      <c r="AB84" s="55"/>
      <c r="AC84" s="50"/>
      <c r="AD84" s="398" t="s">
        <v>288</v>
      </c>
      <c r="AE84" s="398"/>
      <c r="AF84" s="398"/>
      <c r="AG84" s="398"/>
      <c r="AH84" s="398"/>
      <c r="AI84" s="398"/>
      <c r="AJ84" s="398"/>
      <c r="AK84" s="398"/>
      <c r="AL84" s="227"/>
      <c r="AM84" s="227"/>
      <c r="AN84" s="172" t="s">
        <v>286</v>
      </c>
      <c r="AO84" s="172"/>
      <c r="AP84" s="172"/>
      <c r="AQ84" s="228">
        <f>IF(INDEX(Таблицы!AI20:AI242,Таблицы!Y34,1)="","",INDEX(Таблицы!AI20:AI242,Таблицы!Y34,1))</f>
      </c>
      <c r="AR84" s="228"/>
      <c r="AS84" s="172" t="s">
        <v>287</v>
      </c>
      <c r="AT84" s="172"/>
      <c r="AU84" s="172"/>
      <c r="AV84" s="227"/>
      <c r="AW84" s="227"/>
      <c r="AX84" s="360"/>
      <c r="AY84" s="361"/>
      <c r="AZ84" s="224">
        <v>9</v>
      </c>
      <c r="BA84" s="224"/>
      <c r="BB84" s="224">
        <v>10</v>
      </c>
      <c r="BC84" s="224"/>
      <c r="BD84" s="13"/>
      <c r="BE84" s="297"/>
      <c r="BF84" s="297"/>
      <c r="BG84" s="297"/>
      <c r="BH84" s="172"/>
      <c r="BI84" s="228"/>
      <c r="BJ84" s="228"/>
      <c r="BK84" s="172"/>
      <c r="BL84" s="228"/>
      <c r="BM84" s="228"/>
      <c r="BN84" s="172"/>
      <c r="BO84" s="228"/>
      <c r="BP84" s="228"/>
      <c r="BQ84" s="29"/>
    </row>
    <row r="85" spans="1:69" ht="7.5" customHeight="1">
      <c r="A85" s="19"/>
      <c r="B85" s="398"/>
      <c r="C85" s="398"/>
      <c r="D85" s="398"/>
      <c r="E85" s="398"/>
      <c r="F85" s="398"/>
      <c r="G85" s="398"/>
      <c r="H85" s="398"/>
      <c r="I85" s="398"/>
      <c r="J85" s="227"/>
      <c r="K85" s="227"/>
      <c r="L85" s="172"/>
      <c r="M85" s="172"/>
      <c r="N85" s="172"/>
      <c r="O85" s="228"/>
      <c r="P85" s="228"/>
      <c r="Q85" s="172"/>
      <c r="R85" s="172"/>
      <c r="S85" s="172"/>
      <c r="T85" s="227"/>
      <c r="U85" s="227"/>
      <c r="V85" s="362"/>
      <c r="W85" s="363"/>
      <c r="X85" s="224"/>
      <c r="Y85" s="224"/>
      <c r="Z85" s="224"/>
      <c r="AA85" s="224"/>
      <c r="AB85" s="55"/>
      <c r="AC85" s="50"/>
      <c r="AD85" s="398"/>
      <c r="AE85" s="398"/>
      <c r="AF85" s="398"/>
      <c r="AG85" s="398"/>
      <c r="AH85" s="398"/>
      <c r="AI85" s="398"/>
      <c r="AJ85" s="398"/>
      <c r="AK85" s="398"/>
      <c r="AL85" s="227"/>
      <c r="AM85" s="227"/>
      <c r="AN85" s="172"/>
      <c r="AO85" s="172"/>
      <c r="AP85" s="172"/>
      <c r="AQ85" s="228"/>
      <c r="AR85" s="228"/>
      <c r="AS85" s="172"/>
      <c r="AT85" s="172"/>
      <c r="AU85" s="172"/>
      <c r="AV85" s="227"/>
      <c r="AW85" s="227"/>
      <c r="AX85" s="362"/>
      <c r="AY85" s="363"/>
      <c r="AZ85" s="224"/>
      <c r="BA85" s="224"/>
      <c r="BB85" s="224"/>
      <c r="BC85" s="224"/>
      <c r="BD85" s="13"/>
      <c r="BE85" s="297"/>
      <c r="BF85" s="297"/>
      <c r="BG85" s="297"/>
      <c r="BH85" s="172" t="s">
        <v>318</v>
      </c>
      <c r="BI85" s="228">
        <f>IF(INDEX(Таблицы!AK483:AK515,Таблицы!Y488,1)="","",INDEX(Таблицы!AK483:AK515,Таблицы!Y488,1))</f>
      </c>
      <c r="BJ85" s="228"/>
      <c r="BK85" s="172" t="s">
        <v>319</v>
      </c>
      <c r="BL85" s="172"/>
      <c r="BM85" s="204">
        <f>IF(INDEX(Таблицы!AL483:AL515,Таблицы!Y488,1)="","",INDEX(Таблицы!AL483:AL515,Таблицы!Y488,1))</f>
      </c>
      <c r="BN85" s="206"/>
      <c r="BO85" s="204" t="s">
        <v>875</v>
      </c>
      <c r="BP85" s="206">
        <f>IF(INDEX(Таблицы!AM483:AM515,Таблицы!Y488,1)="","",INDEX(Таблицы!AM483:AM515,Таблицы!Y488,1))</f>
      </c>
      <c r="BQ85" s="29"/>
    </row>
    <row r="86" spans="1:69" ht="7.5" customHeight="1">
      <c r="A86" s="65"/>
      <c r="B86" s="71"/>
      <c r="C86" s="71"/>
      <c r="D86" s="71"/>
      <c r="E86" s="71"/>
      <c r="F86" s="71"/>
      <c r="G86" s="71"/>
      <c r="H86" s="71"/>
      <c r="I86" s="71"/>
      <c r="J86" s="63"/>
      <c r="K86" s="63"/>
      <c r="L86" s="64"/>
      <c r="M86" s="64"/>
      <c r="N86" s="64"/>
      <c r="O86" s="63"/>
      <c r="P86" s="63"/>
      <c r="Q86" s="64"/>
      <c r="R86" s="64"/>
      <c r="S86" s="64"/>
      <c r="T86" s="63"/>
      <c r="U86" s="63"/>
      <c r="V86" s="46"/>
      <c r="W86" s="46"/>
      <c r="X86" s="71"/>
      <c r="Y86" s="71"/>
      <c r="Z86" s="71"/>
      <c r="AA86" s="71"/>
      <c r="AB86" s="73"/>
      <c r="AC86" s="75"/>
      <c r="AD86" s="71"/>
      <c r="AE86" s="71"/>
      <c r="AF86" s="63"/>
      <c r="AG86" s="63"/>
      <c r="AH86" s="64"/>
      <c r="AI86" s="64"/>
      <c r="AJ86" s="64"/>
      <c r="AK86" s="63"/>
      <c r="AL86" s="63"/>
      <c r="AM86" s="64"/>
      <c r="AN86" s="64"/>
      <c r="AO86" s="64"/>
      <c r="AP86" s="63"/>
      <c r="AQ86" s="63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297"/>
      <c r="BF86" s="297"/>
      <c r="BG86" s="297"/>
      <c r="BH86" s="172"/>
      <c r="BI86" s="228"/>
      <c r="BJ86" s="228"/>
      <c r="BK86" s="172"/>
      <c r="BL86" s="172"/>
      <c r="BM86" s="205"/>
      <c r="BN86" s="207"/>
      <c r="BO86" s="205"/>
      <c r="BP86" s="207"/>
      <c r="BQ86" s="29"/>
    </row>
    <row r="87" spans="1:69" ht="7.5" customHeight="1" thickBot="1">
      <c r="A87" s="19"/>
      <c r="B87" s="52"/>
      <c r="C87" s="52"/>
      <c r="D87" s="52"/>
      <c r="E87" s="52"/>
      <c r="F87" s="52"/>
      <c r="G87" s="52"/>
      <c r="H87" s="52"/>
      <c r="I87" s="52"/>
      <c r="J87" s="4"/>
      <c r="K87" s="4"/>
      <c r="L87" s="48"/>
      <c r="M87" s="48"/>
      <c r="N87" s="48"/>
      <c r="O87" s="4"/>
      <c r="P87" s="4"/>
      <c r="Q87" s="48"/>
      <c r="R87" s="48"/>
      <c r="S87" s="48"/>
      <c r="T87" s="4"/>
      <c r="U87" s="4"/>
      <c r="V87" s="13"/>
      <c r="W87" s="13"/>
      <c r="X87" s="52"/>
      <c r="Y87" s="52"/>
      <c r="Z87" s="52"/>
      <c r="AA87" s="52"/>
      <c r="AB87" s="52"/>
      <c r="AC87" s="52"/>
      <c r="AD87" s="52"/>
      <c r="AE87" s="52"/>
      <c r="AF87" s="4"/>
      <c r="AG87" s="4"/>
      <c r="AH87" s="48"/>
      <c r="AI87" s="48"/>
      <c r="AJ87" s="48"/>
      <c r="AK87" s="4"/>
      <c r="AL87" s="4"/>
      <c r="AM87" s="48"/>
      <c r="AN87" s="48"/>
      <c r="AO87" s="48"/>
      <c r="AP87" s="4"/>
      <c r="AQ87" s="4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297" t="s">
        <v>876</v>
      </c>
      <c r="BF87" s="297"/>
      <c r="BG87" s="297"/>
      <c r="BH87" s="172" t="s">
        <v>315</v>
      </c>
      <c r="BI87" s="227"/>
      <c r="BJ87" s="227"/>
      <c r="BK87" s="172" t="s">
        <v>316</v>
      </c>
      <c r="BL87" s="227"/>
      <c r="BM87" s="227"/>
      <c r="BN87" s="172" t="s">
        <v>317</v>
      </c>
      <c r="BO87" s="254"/>
      <c r="BP87" s="254"/>
      <c r="BQ87" s="29"/>
    </row>
    <row r="88" spans="1:69" ht="7.5" customHeight="1">
      <c r="A88" s="19"/>
      <c r="B88" s="370" t="s">
        <v>101</v>
      </c>
      <c r="C88" s="371"/>
      <c r="D88" s="371"/>
      <c r="E88" s="371"/>
      <c r="F88" s="371"/>
      <c r="G88" s="371"/>
      <c r="H88" s="371"/>
      <c r="I88" s="371"/>
      <c r="J88" s="371"/>
      <c r="K88" s="371"/>
      <c r="L88" s="371"/>
      <c r="M88" s="371"/>
      <c r="N88" s="371"/>
      <c r="O88" s="371"/>
      <c r="P88" s="371"/>
      <c r="Q88" s="371"/>
      <c r="R88" s="371"/>
      <c r="S88" s="371"/>
      <c r="T88" s="371"/>
      <c r="U88" s="371"/>
      <c r="V88" s="371"/>
      <c r="W88" s="371"/>
      <c r="X88" s="371"/>
      <c r="Y88" s="371"/>
      <c r="Z88" s="371"/>
      <c r="AA88" s="371"/>
      <c r="AB88" s="371"/>
      <c r="AC88" s="371"/>
      <c r="AD88" s="371"/>
      <c r="AE88" s="371"/>
      <c r="AF88" s="371"/>
      <c r="AG88" s="371"/>
      <c r="AH88" s="371"/>
      <c r="AI88" s="371"/>
      <c r="AJ88" s="371"/>
      <c r="AK88" s="371"/>
      <c r="AL88" s="371"/>
      <c r="AM88" s="371"/>
      <c r="AN88" s="371"/>
      <c r="AO88" s="371"/>
      <c r="AP88" s="371"/>
      <c r="AQ88" s="371"/>
      <c r="AR88" s="371"/>
      <c r="AS88" s="371"/>
      <c r="AT88" s="371"/>
      <c r="AU88" s="371"/>
      <c r="AV88" s="371"/>
      <c r="AW88" s="371"/>
      <c r="AX88" s="371"/>
      <c r="AY88" s="371"/>
      <c r="AZ88" s="371"/>
      <c r="BA88" s="371"/>
      <c r="BB88" s="371"/>
      <c r="BC88" s="372"/>
      <c r="BD88" s="13"/>
      <c r="BE88" s="297"/>
      <c r="BF88" s="297"/>
      <c r="BG88" s="297"/>
      <c r="BH88" s="172"/>
      <c r="BI88" s="227"/>
      <c r="BJ88" s="227"/>
      <c r="BK88" s="172"/>
      <c r="BL88" s="227"/>
      <c r="BM88" s="227"/>
      <c r="BN88" s="172"/>
      <c r="BO88" s="227"/>
      <c r="BP88" s="227"/>
      <c r="BQ88" s="29"/>
    </row>
    <row r="89" spans="1:69" ht="7.5" customHeight="1" thickBot="1">
      <c r="A89" s="19"/>
      <c r="B89" s="373"/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/>
      <c r="R89" s="374"/>
      <c r="S89" s="374"/>
      <c r="T89" s="374"/>
      <c r="U89" s="374"/>
      <c r="V89" s="374"/>
      <c r="W89" s="374"/>
      <c r="X89" s="374"/>
      <c r="Y89" s="374"/>
      <c r="Z89" s="374"/>
      <c r="AA89" s="374"/>
      <c r="AB89" s="374"/>
      <c r="AC89" s="374"/>
      <c r="AD89" s="374"/>
      <c r="AE89" s="374"/>
      <c r="AF89" s="374"/>
      <c r="AG89" s="374"/>
      <c r="AH89" s="374"/>
      <c r="AI89" s="374"/>
      <c r="AJ89" s="374"/>
      <c r="AK89" s="374"/>
      <c r="AL89" s="374"/>
      <c r="AM89" s="374"/>
      <c r="AN89" s="374"/>
      <c r="AO89" s="374"/>
      <c r="AP89" s="374"/>
      <c r="AQ89" s="374"/>
      <c r="AR89" s="374"/>
      <c r="AS89" s="374"/>
      <c r="AT89" s="374"/>
      <c r="AU89" s="374"/>
      <c r="AV89" s="374"/>
      <c r="AW89" s="374"/>
      <c r="AX89" s="374"/>
      <c r="AY89" s="374"/>
      <c r="AZ89" s="374"/>
      <c r="BA89" s="374"/>
      <c r="BB89" s="374"/>
      <c r="BC89" s="375"/>
      <c r="BD89" s="13"/>
      <c r="BE89" s="297"/>
      <c r="BF89" s="297"/>
      <c r="BG89" s="297"/>
      <c r="BH89" s="172" t="s">
        <v>318</v>
      </c>
      <c r="BI89" s="227"/>
      <c r="BJ89" s="227"/>
      <c r="BK89" s="172" t="s">
        <v>319</v>
      </c>
      <c r="BL89" s="172"/>
      <c r="BM89" s="208"/>
      <c r="BN89" s="209"/>
      <c r="BO89" s="204" t="s">
        <v>875</v>
      </c>
      <c r="BP89" s="209"/>
      <c r="BQ89" s="29"/>
    </row>
    <row r="90" spans="1:69" ht="7.5" customHeight="1">
      <c r="A90" s="19"/>
      <c r="B90" s="376" t="s">
        <v>269</v>
      </c>
      <c r="C90" s="376"/>
      <c r="D90" s="376"/>
      <c r="E90" s="376"/>
      <c r="F90" s="376"/>
      <c r="G90" s="376"/>
      <c r="H90" s="376"/>
      <c r="I90" s="376"/>
      <c r="J90" s="57"/>
      <c r="K90" s="376" t="s">
        <v>296</v>
      </c>
      <c r="L90" s="376"/>
      <c r="M90" s="376"/>
      <c r="N90" s="376"/>
      <c r="O90" s="376"/>
      <c r="P90" s="376"/>
      <c r="Q90" s="282" t="s">
        <v>291</v>
      </c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  <c r="AC90" s="282"/>
      <c r="AD90" s="282"/>
      <c r="AE90" s="282"/>
      <c r="AF90" s="282"/>
      <c r="AG90" s="282"/>
      <c r="AH90" s="282"/>
      <c r="AI90" s="282"/>
      <c r="AJ90" s="282"/>
      <c r="AK90" s="283"/>
      <c r="AL90" s="13"/>
      <c r="AM90" s="376" t="s">
        <v>297</v>
      </c>
      <c r="AN90" s="376"/>
      <c r="AO90" s="376"/>
      <c r="AP90" s="396"/>
      <c r="AQ90" s="282"/>
      <c r="AR90" s="282"/>
      <c r="AS90" s="282"/>
      <c r="AT90" s="282"/>
      <c r="AU90" s="282"/>
      <c r="AV90" s="282"/>
      <c r="AW90" s="282"/>
      <c r="AX90" s="282"/>
      <c r="AY90" s="282"/>
      <c r="AZ90" s="282"/>
      <c r="BA90" s="282"/>
      <c r="BB90" s="282"/>
      <c r="BC90" s="283"/>
      <c r="BD90" s="13"/>
      <c r="BE90" s="297"/>
      <c r="BF90" s="297"/>
      <c r="BG90" s="297"/>
      <c r="BH90" s="172"/>
      <c r="BI90" s="227"/>
      <c r="BJ90" s="227"/>
      <c r="BK90" s="172"/>
      <c r="BL90" s="172"/>
      <c r="BM90" s="210"/>
      <c r="BN90" s="211"/>
      <c r="BO90" s="205"/>
      <c r="BP90" s="211"/>
      <c r="BQ90" s="29"/>
    </row>
    <row r="91" spans="1:69" ht="7.5" customHeight="1">
      <c r="A91" s="19"/>
      <c r="B91" s="377"/>
      <c r="C91" s="377"/>
      <c r="D91" s="377"/>
      <c r="E91" s="377"/>
      <c r="F91" s="377"/>
      <c r="G91" s="377"/>
      <c r="H91" s="377"/>
      <c r="I91" s="377"/>
      <c r="J91" s="57"/>
      <c r="K91" s="377"/>
      <c r="L91" s="377"/>
      <c r="M91" s="377"/>
      <c r="N91" s="377"/>
      <c r="O91" s="377"/>
      <c r="P91" s="377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83"/>
      <c r="AL91" s="51"/>
      <c r="AM91" s="377"/>
      <c r="AN91" s="377"/>
      <c r="AO91" s="377"/>
      <c r="AP91" s="396"/>
      <c r="AQ91" s="282"/>
      <c r="AR91" s="282"/>
      <c r="AS91" s="282"/>
      <c r="AT91" s="282"/>
      <c r="AU91" s="282"/>
      <c r="AV91" s="282"/>
      <c r="AW91" s="282"/>
      <c r="AX91" s="282"/>
      <c r="AY91" s="282"/>
      <c r="AZ91" s="282"/>
      <c r="BA91" s="282"/>
      <c r="BB91" s="282"/>
      <c r="BC91" s="283"/>
      <c r="BD91" s="13"/>
      <c r="BE91" s="297" t="s">
        <v>321</v>
      </c>
      <c r="BF91" s="297"/>
      <c r="BG91" s="297"/>
      <c r="BH91" s="172" t="s">
        <v>315</v>
      </c>
      <c r="BI91" s="228">
        <f>IF(BI83="","",BI83+BI87)</f>
      </c>
      <c r="BJ91" s="228"/>
      <c r="BK91" s="172" t="s">
        <v>316</v>
      </c>
      <c r="BL91" s="228">
        <f>IF(BL83="","",BL83+BL87)</f>
      </c>
      <c r="BM91" s="228"/>
      <c r="BN91" s="172" t="s">
        <v>317</v>
      </c>
      <c r="BO91" s="228">
        <f>IF(BO83="","",BO83-BO87)</f>
      </c>
      <c r="BP91" s="228"/>
      <c r="BQ91" s="29"/>
    </row>
    <row r="92" spans="1:69" ht="7.5" customHeight="1">
      <c r="A92" s="19"/>
      <c r="B92" s="377"/>
      <c r="C92" s="377"/>
      <c r="D92" s="377"/>
      <c r="E92" s="377"/>
      <c r="F92" s="377"/>
      <c r="G92" s="377"/>
      <c r="H92" s="377"/>
      <c r="I92" s="377"/>
      <c r="J92" s="57"/>
      <c r="K92" s="377"/>
      <c r="L92" s="377"/>
      <c r="M92" s="377"/>
      <c r="N92" s="377"/>
      <c r="O92" s="377"/>
      <c r="P92" s="377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5"/>
      <c r="AL92" s="51"/>
      <c r="AM92" s="377"/>
      <c r="AN92" s="377"/>
      <c r="AO92" s="377"/>
      <c r="AP92" s="397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5"/>
      <c r="BD92" s="13"/>
      <c r="BE92" s="297"/>
      <c r="BF92" s="297"/>
      <c r="BG92" s="297"/>
      <c r="BH92" s="172"/>
      <c r="BI92" s="228"/>
      <c r="BJ92" s="228"/>
      <c r="BK92" s="172"/>
      <c r="BL92" s="228"/>
      <c r="BM92" s="228"/>
      <c r="BN92" s="172"/>
      <c r="BO92" s="228"/>
      <c r="BP92" s="228"/>
      <c r="BQ92" s="29"/>
    </row>
    <row r="93" spans="1:69" ht="7.5" customHeight="1">
      <c r="A93" s="19"/>
      <c r="B93" s="172" t="s">
        <v>293</v>
      </c>
      <c r="C93" s="172"/>
      <c r="D93" s="172"/>
      <c r="E93" s="172"/>
      <c r="F93" s="172"/>
      <c r="G93" s="172"/>
      <c r="H93" s="172"/>
      <c r="I93" s="172"/>
      <c r="J93" s="49"/>
      <c r="K93" s="172" t="s">
        <v>298</v>
      </c>
      <c r="L93" s="172"/>
      <c r="M93" s="172"/>
      <c r="N93" s="228">
        <f>IF(INDEX(Таблицы!AC332:AC375,Таблицы!Y338,1)="","",INDEX(Таблицы!AC332:AC375,Таблицы!Y338,1))</f>
      </c>
      <c r="O93" s="228"/>
      <c r="P93" s="228"/>
      <c r="Q93" s="384" t="s">
        <v>103</v>
      </c>
      <c r="R93" s="384"/>
      <c r="S93" s="384"/>
      <c r="T93" s="384"/>
      <c r="U93" s="385"/>
      <c r="V93" s="383" t="s">
        <v>294</v>
      </c>
      <c r="W93" s="384"/>
      <c r="X93" s="384"/>
      <c r="Y93" s="384"/>
      <c r="Z93" s="385"/>
      <c r="AA93" s="327" t="s">
        <v>299</v>
      </c>
      <c r="AB93" s="328"/>
      <c r="AC93" s="328"/>
      <c r="AD93" s="328"/>
      <c r="AE93" s="346"/>
      <c r="AF93" s="44"/>
      <c r="AG93" s="54"/>
      <c r="AH93" s="44"/>
      <c r="AI93" s="44"/>
      <c r="AJ93" s="44"/>
      <c r="AK93" s="45"/>
      <c r="AL93" s="13"/>
      <c r="AM93" s="327" t="s">
        <v>298</v>
      </c>
      <c r="AN93" s="328"/>
      <c r="AO93" s="346"/>
      <c r="AP93" s="354">
        <f>IF(INDEX(Таблицы!AC378:AC396,Таблицы!Y384,1)="","",INDEX(Таблицы!AC378:AC396,Таблицы!Y384,1))</f>
      </c>
      <c r="AQ93" s="355"/>
      <c r="AR93" s="356"/>
      <c r="AS93" s="383" t="s">
        <v>103</v>
      </c>
      <c r="AT93" s="384"/>
      <c r="AU93" s="384"/>
      <c r="AV93" s="384"/>
      <c r="AW93" s="385"/>
      <c r="AX93" s="44"/>
      <c r="AY93" s="54"/>
      <c r="AZ93" s="44"/>
      <c r="BA93" s="44"/>
      <c r="BB93" s="44"/>
      <c r="BC93" s="45"/>
      <c r="BD93" s="13"/>
      <c r="BE93" s="297"/>
      <c r="BF93" s="297"/>
      <c r="BG93" s="297"/>
      <c r="BH93" s="172" t="s">
        <v>318</v>
      </c>
      <c r="BI93" s="228">
        <f>IF(BI85="","",BI85+BI89)</f>
      </c>
      <c r="BJ93" s="228"/>
      <c r="BK93" s="172" t="s">
        <v>319</v>
      </c>
      <c r="BL93" s="172"/>
      <c r="BM93" s="204">
        <f>IF(BM85="","",BM85+BM89)</f>
      </c>
      <c r="BN93" s="206"/>
      <c r="BO93" s="204" t="s">
        <v>875</v>
      </c>
      <c r="BP93" s="206">
        <f>IF(BP85="","",BP85+BP89)</f>
      </c>
      <c r="BQ93" s="29"/>
    </row>
    <row r="94" spans="1:69" ht="7.5" customHeight="1">
      <c r="A94" s="19"/>
      <c r="B94" s="172"/>
      <c r="C94" s="172"/>
      <c r="D94" s="172"/>
      <c r="E94" s="172"/>
      <c r="F94" s="172"/>
      <c r="G94" s="172"/>
      <c r="H94" s="172"/>
      <c r="I94" s="172"/>
      <c r="J94" s="49"/>
      <c r="K94" s="172"/>
      <c r="L94" s="172"/>
      <c r="M94" s="172"/>
      <c r="N94" s="228"/>
      <c r="O94" s="228"/>
      <c r="P94" s="228"/>
      <c r="Q94" s="330"/>
      <c r="R94" s="330"/>
      <c r="S94" s="384"/>
      <c r="T94" s="384"/>
      <c r="U94" s="385"/>
      <c r="V94" s="329"/>
      <c r="W94" s="330"/>
      <c r="X94" s="384"/>
      <c r="Y94" s="384"/>
      <c r="Z94" s="385"/>
      <c r="AA94" s="329"/>
      <c r="AB94" s="330"/>
      <c r="AC94" s="330"/>
      <c r="AD94" s="330"/>
      <c r="AE94" s="347"/>
      <c r="AF94" s="53"/>
      <c r="AG94" s="13"/>
      <c r="AH94" s="46"/>
      <c r="AI94" s="46"/>
      <c r="AJ94" s="46"/>
      <c r="AK94" s="47"/>
      <c r="AL94" s="56"/>
      <c r="AM94" s="329"/>
      <c r="AN94" s="330"/>
      <c r="AO94" s="347"/>
      <c r="AP94" s="357"/>
      <c r="AQ94" s="358"/>
      <c r="AR94" s="359"/>
      <c r="AS94" s="329"/>
      <c r="AT94" s="330"/>
      <c r="AU94" s="384"/>
      <c r="AV94" s="384"/>
      <c r="AW94" s="385"/>
      <c r="AX94" s="53"/>
      <c r="AY94" s="13"/>
      <c r="AZ94" s="46"/>
      <c r="BA94" s="46"/>
      <c r="BB94" s="46"/>
      <c r="BC94" s="47"/>
      <c r="BD94" s="13"/>
      <c r="BE94" s="297"/>
      <c r="BF94" s="297"/>
      <c r="BG94" s="297"/>
      <c r="BH94" s="172"/>
      <c r="BI94" s="228"/>
      <c r="BJ94" s="228"/>
      <c r="BK94" s="172"/>
      <c r="BL94" s="172"/>
      <c r="BM94" s="205"/>
      <c r="BN94" s="207"/>
      <c r="BO94" s="205"/>
      <c r="BP94" s="207"/>
      <c r="BQ94" s="29"/>
    </row>
    <row r="95" spans="1:69" ht="7.5" customHeight="1">
      <c r="A95" s="19"/>
      <c r="B95" s="228">
        <f>O66+IF(N93="",0,N93)</f>
        <v>5</v>
      </c>
      <c r="C95" s="228"/>
      <c r="D95" s="228"/>
      <c r="E95" s="228"/>
      <c r="F95" s="228"/>
      <c r="G95" s="228"/>
      <c r="H95" s="228"/>
      <c r="I95" s="228"/>
      <c r="J95" s="58"/>
      <c r="K95" s="378" t="s">
        <v>231</v>
      </c>
      <c r="L95" s="378"/>
      <c r="M95" s="378"/>
      <c r="N95" s="378"/>
      <c r="O95" s="378"/>
      <c r="P95" s="378"/>
      <c r="Q95" s="387">
        <f>IF(INDEX(Таблицы!AD332:AD375,Таблицы!Y338,1)="",0,INDEX(Таблицы!AD332:AD375,Таблицы!Y338,1))+INDEX(Таблицы!V2:V10,Таблицы!K1,1)+IF(AND(Таблицы!K1=8,OR(Таблицы!F218=26,Таблицы!F219=26)),5,0)</f>
        <v>0</v>
      </c>
      <c r="R95" s="369"/>
      <c r="S95" s="365">
        <f>IF(INDEX(Таблицы!AE332:AE375,Таблицы!Y338,1)&lt;Таблицы!BJ344/100,0,INDEX(Таблицы!AE332:AE375,Таблицы!Y338,1)-Таблицы!BJ344/100)+INDEX(Таблицы!W2:W10,Таблицы!K1,1)</f>
        <v>0</v>
      </c>
      <c r="T95" s="365"/>
      <c r="U95" s="366"/>
      <c r="V95" s="274"/>
      <c r="W95" s="386"/>
      <c r="X95" s="379"/>
      <c r="Y95" s="379"/>
      <c r="Z95" s="380"/>
      <c r="AA95" s="298">
        <f>Q95+V95</f>
        <v>0</v>
      </c>
      <c r="AB95" s="369"/>
      <c r="AC95" s="365">
        <f>IF(S95+X95&lt;0,0,S95+X95)</f>
        <v>0</v>
      </c>
      <c r="AD95" s="365"/>
      <c r="AE95" s="366"/>
      <c r="AF95" s="360" t="s">
        <v>100</v>
      </c>
      <c r="AG95" s="361"/>
      <c r="AH95" s="364">
        <v>1</v>
      </c>
      <c r="AI95" s="364"/>
      <c r="AJ95" s="364">
        <v>2</v>
      </c>
      <c r="AK95" s="364"/>
      <c r="AL95" s="13"/>
      <c r="AM95" s="378" t="s">
        <v>231</v>
      </c>
      <c r="AN95" s="378"/>
      <c r="AO95" s="378"/>
      <c r="AP95" s="378"/>
      <c r="AQ95" s="378"/>
      <c r="AR95" s="378"/>
      <c r="AS95" s="298">
        <f>IF(INDEX(Таблицы!AD378:AD396,Таблицы!Y384,1)="",0,INDEX(Таблицы!AD378:AD396,Таблицы!Y384,1))</f>
        <v>0</v>
      </c>
      <c r="AT95" s="369"/>
      <c r="AU95" s="365">
        <f>IF(INDEX(Таблицы!AE378:AE396,Таблицы!Y384,1)&lt;Таблицы!BI390/100,0,INDEX(Таблицы!AE378:AE396,Таблицы!Y384,1)-Таблицы!BI390/100)</f>
        <v>0</v>
      </c>
      <c r="AV95" s="365"/>
      <c r="AW95" s="366"/>
      <c r="AX95" s="360" t="s">
        <v>100</v>
      </c>
      <c r="AY95" s="361"/>
      <c r="AZ95" s="364">
        <v>1</v>
      </c>
      <c r="BA95" s="364"/>
      <c r="BB95" s="364">
        <v>2</v>
      </c>
      <c r="BC95" s="364"/>
      <c r="BD95" s="13"/>
      <c r="BE95" s="327" t="s">
        <v>327</v>
      </c>
      <c r="BF95" s="328"/>
      <c r="BG95" s="328"/>
      <c r="BH95" s="328"/>
      <c r="BI95" s="328"/>
      <c r="BJ95" s="328"/>
      <c r="BK95" s="328"/>
      <c r="BL95" s="328"/>
      <c r="BM95" s="328"/>
      <c r="BN95" s="328"/>
      <c r="BO95" s="328"/>
      <c r="BP95" s="346"/>
      <c r="BQ95" s="29"/>
    </row>
    <row r="96" spans="1:69" ht="7.5" customHeight="1">
      <c r="A96" s="19"/>
      <c r="B96" s="228"/>
      <c r="C96" s="228"/>
      <c r="D96" s="228"/>
      <c r="E96" s="228"/>
      <c r="F96" s="228"/>
      <c r="G96" s="228"/>
      <c r="H96" s="228"/>
      <c r="I96" s="228"/>
      <c r="J96" s="58"/>
      <c r="K96" s="378"/>
      <c r="L96" s="378"/>
      <c r="M96" s="378"/>
      <c r="N96" s="378"/>
      <c r="O96" s="378"/>
      <c r="P96" s="378"/>
      <c r="Q96" s="387"/>
      <c r="R96" s="369"/>
      <c r="S96" s="367"/>
      <c r="T96" s="367"/>
      <c r="U96" s="368"/>
      <c r="V96" s="274"/>
      <c r="W96" s="386"/>
      <c r="X96" s="381"/>
      <c r="Y96" s="381"/>
      <c r="Z96" s="382"/>
      <c r="AA96" s="298"/>
      <c r="AB96" s="369"/>
      <c r="AC96" s="367"/>
      <c r="AD96" s="367"/>
      <c r="AE96" s="368"/>
      <c r="AF96" s="360"/>
      <c r="AG96" s="361"/>
      <c r="AH96" s="224"/>
      <c r="AI96" s="224"/>
      <c r="AJ96" s="224"/>
      <c r="AK96" s="224"/>
      <c r="AL96" s="13"/>
      <c r="AM96" s="378"/>
      <c r="AN96" s="378"/>
      <c r="AO96" s="378"/>
      <c r="AP96" s="378"/>
      <c r="AQ96" s="378"/>
      <c r="AR96" s="378"/>
      <c r="AS96" s="298"/>
      <c r="AT96" s="369"/>
      <c r="AU96" s="367"/>
      <c r="AV96" s="367"/>
      <c r="AW96" s="368"/>
      <c r="AX96" s="360"/>
      <c r="AY96" s="361"/>
      <c r="AZ96" s="224"/>
      <c r="BA96" s="224"/>
      <c r="BB96" s="224"/>
      <c r="BC96" s="224"/>
      <c r="BD96" s="13"/>
      <c r="BE96" s="329"/>
      <c r="BF96" s="330"/>
      <c r="BG96" s="330"/>
      <c r="BH96" s="330"/>
      <c r="BI96" s="330"/>
      <c r="BJ96" s="330"/>
      <c r="BK96" s="330"/>
      <c r="BL96" s="330"/>
      <c r="BM96" s="330"/>
      <c r="BN96" s="330"/>
      <c r="BO96" s="330"/>
      <c r="BP96" s="347"/>
      <c r="BQ96" s="29"/>
    </row>
    <row r="97" spans="1:69" ht="7.5" customHeight="1">
      <c r="A97" s="19"/>
      <c r="B97" s="172" t="s">
        <v>300</v>
      </c>
      <c r="C97" s="172"/>
      <c r="D97" s="172"/>
      <c r="E97" s="172"/>
      <c r="F97" s="172"/>
      <c r="G97" s="172"/>
      <c r="H97" s="172"/>
      <c r="I97" s="172"/>
      <c r="J97" s="49"/>
      <c r="K97" s="378" t="s">
        <v>104</v>
      </c>
      <c r="L97" s="378"/>
      <c r="M97" s="378"/>
      <c r="N97" s="378"/>
      <c r="O97" s="378"/>
      <c r="P97" s="378"/>
      <c r="Q97" s="387">
        <f>IF(INDEX(Таблицы!AF332:AF375,Таблицы!Y338,1)="",0,INDEX(Таблицы!AF332:AF375,Таблицы!Y338,1))+INDEX(Таблицы!X2:X10,Таблицы!K1,1)+IF(AND(Таблицы!K1=8,OR(Таблицы!F218=26,Таблицы!F219=26)),5,0)</f>
        <v>0</v>
      </c>
      <c r="R97" s="369"/>
      <c r="S97" s="365">
        <f>IF(INDEX(Таблицы!AG332:AG375,Таблицы!Y338,1)&lt;Таблицы!BJ344/100,0,INDEX(Таблицы!AG332:AG375,Таблицы!Y338,1)-Таблицы!BJ344/100)+INDEX(Таблицы!Y2:Y10,Таблицы!K1,1)</f>
        <v>0</v>
      </c>
      <c r="T97" s="365"/>
      <c r="U97" s="366"/>
      <c r="V97" s="274"/>
      <c r="W97" s="386"/>
      <c r="X97" s="379"/>
      <c r="Y97" s="379"/>
      <c r="Z97" s="380"/>
      <c r="AA97" s="298">
        <f>Q97+V97</f>
        <v>0</v>
      </c>
      <c r="AB97" s="369"/>
      <c r="AC97" s="365">
        <f>IF(S97+X97&lt;0,0,S97+X97)</f>
        <v>0</v>
      </c>
      <c r="AD97" s="365"/>
      <c r="AE97" s="366"/>
      <c r="AF97" s="360"/>
      <c r="AG97" s="361"/>
      <c r="AH97" s="224">
        <v>3</v>
      </c>
      <c r="AI97" s="224"/>
      <c r="AJ97" s="224">
        <v>4</v>
      </c>
      <c r="AK97" s="224"/>
      <c r="AL97" s="13"/>
      <c r="AM97" s="378" t="s">
        <v>104</v>
      </c>
      <c r="AN97" s="378"/>
      <c r="AO97" s="378"/>
      <c r="AP97" s="378"/>
      <c r="AQ97" s="378"/>
      <c r="AR97" s="378"/>
      <c r="AS97" s="298">
        <f>IF(INDEX(Таблицы!AF378:AF396,Таблицы!Y384,1)="",0,INDEX(Таблицы!AF378:AF396,Таблицы!Y384,1))</f>
        <v>0</v>
      </c>
      <c r="AT97" s="369"/>
      <c r="AU97" s="365">
        <f>IF(INDEX(Таблицы!AG378:AG396,Таблицы!Y384,1)&lt;Таблицы!BI390/100,0,INDEX(Таблицы!AG378:AG396,Таблицы!Y384,1)-Таблицы!BI390/100)</f>
        <v>0</v>
      </c>
      <c r="AV97" s="365"/>
      <c r="AW97" s="366"/>
      <c r="AX97" s="360"/>
      <c r="AY97" s="361"/>
      <c r="AZ97" s="224">
        <v>3</v>
      </c>
      <c r="BA97" s="224"/>
      <c r="BB97" s="224">
        <v>4</v>
      </c>
      <c r="BC97" s="224"/>
      <c r="BD97" s="13"/>
      <c r="BE97" s="348">
        <f>IF(INDEX(Таблицы!AT483:AT515,Таблицы!Y488,1)="","",INDEX(Таблицы!AT483:AT515,Таблицы!Y488,1))</f>
      </c>
      <c r="BF97" s="349"/>
      <c r="BG97" s="349"/>
      <c r="BH97" s="349"/>
      <c r="BI97" s="349"/>
      <c r="BJ97" s="349"/>
      <c r="BK97" s="349"/>
      <c r="BL97" s="349"/>
      <c r="BM97" s="349"/>
      <c r="BN97" s="349"/>
      <c r="BO97" s="349"/>
      <c r="BP97" s="350"/>
      <c r="BQ97" s="29"/>
    </row>
    <row r="98" spans="1:69" ht="7.5" customHeight="1">
      <c r="A98" s="19"/>
      <c r="B98" s="172"/>
      <c r="C98" s="172"/>
      <c r="D98" s="172"/>
      <c r="E98" s="172"/>
      <c r="F98" s="172"/>
      <c r="G98" s="172"/>
      <c r="H98" s="172"/>
      <c r="I98" s="172"/>
      <c r="J98" s="49"/>
      <c r="K98" s="378"/>
      <c r="L98" s="378"/>
      <c r="M98" s="378"/>
      <c r="N98" s="378"/>
      <c r="O98" s="378"/>
      <c r="P98" s="378"/>
      <c r="Q98" s="387"/>
      <c r="R98" s="369"/>
      <c r="S98" s="367"/>
      <c r="T98" s="367"/>
      <c r="U98" s="368"/>
      <c r="V98" s="274"/>
      <c r="W98" s="386"/>
      <c r="X98" s="381"/>
      <c r="Y98" s="381"/>
      <c r="Z98" s="382"/>
      <c r="AA98" s="298"/>
      <c r="AB98" s="369"/>
      <c r="AC98" s="367"/>
      <c r="AD98" s="367"/>
      <c r="AE98" s="368"/>
      <c r="AF98" s="360"/>
      <c r="AG98" s="361"/>
      <c r="AH98" s="224"/>
      <c r="AI98" s="224"/>
      <c r="AJ98" s="224"/>
      <c r="AK98" s="224"/>
      <c r="AL98" s="13"/>
      <c r="AM98" s="378"/>
      <c r="AN98" s="378"/>
      <c r="AO98" s="378"/>
      <c r="AP98" s="378"/>
      <c r="AQ98" s="378"/>
      <c r="AR98" s="378"/>
      <c r="AS98" s="298"/>
      <c r="AT98" s="369"/>
      <c r="AU98" s="367"/>
      <c r="AV98" s="367"/>
      <c r="AW98" s="368"/>
      <c r="AX98" s="360"/>
      <c r="AY98" s="361"/>
      <c r="AZ98" s="224"/>
      <c r="BA98" s="224"/>
      <c r="BB98" s="224"/>
      <c r="BC98" s="224"/>
      <c r="BD98" s="13"/>
      <c r="BE98" s="351"/>
      <c r="BF98" s="352"/>
      <c r="BG98" s="352"/>
      <c r="BH98" s="352"/>
      <c r="BI98" s="352"/>
      <c r="BJ98" s="352"/>
      <c r="BK98" s="352"/>
      <c r="BL98" s="352"/>
      <c r="BM98" s="352"/>
      <c r="BN98" s="352"/>
      <c r="BO98" s="352"/>
      <c r="BP98" s="353"/>
      <c r="BQ98" s="29"/>
    </row>
    <row r="99" spans="1:69" ht="7.5" customHeight="1" thickBot="1">
      <c r="A99" s="19"/>
      <c r="B99" s="227"/>
      <c r="C99" s="227"/>
      <c r="D99" s="227"/>
      <c r="E99" s="227"/>
      <c r="F99" s="227"/>
      <c r="G99" s="227"/>
      <c r="H99" s="227"/>
      <c r="I99" s="227"/>
      <c r="J99" s="58"/>
      <c r="K99" s="378" t="s">
        <v>107</v>
      </c>
      <c r="L99" s="378"/>
      <c r="M99" s="378"/>
      <c r="N99" s="378"/>
      <c r="O99" s="378"/>
      <c r="P99" s="378"/>
      <c r="Q99" s="387">
        <f>IF(INDEX(Таблицы!AH332:AH375,Таблицы!Y338,1)="",0,INDEX(Таблицы!AH332:AH375,Таблицы!Y338,1))+INDEX(Таблицы!Z2:Z10,Таблицы!K1,1)+IF(AND(Таблицы!K1=8,OR(Таблицы!F218=26,Таблицы!F219=26)),5,0)</f>
        <v>0</v>
      </c>
      <c r="R99" s="369"/>
      <c r="S99" s="365">
        <f>IF(INDEX(Таблицы!AI332:AI375,Таблицы!Y338,1)&lt;Таблицы!BJ344/100,0,INDEX(Таблицы!AI332:AI375,Таблицы!Y338,1)-Таблицы!BJ344/100)+INDEX(Таблицы!AA2:AA10,Таблицы!K1,1)</f>
        <v>0</v>
      </c>
      <c r="T99" s="365"/>
      <c r="U99" s="366"/>
      <c r="V99" s="274"/>
      <c r="W99" s="386"/>
      <c r="X99" s="379"/>
      <c r="Y99" s="379"/>
      <c r="Z99" s="380"/>
      <c r="AA99" s="298">
        <f>Q99+V99</f>
        <v>0</v>
      </c>
      <c r="AB99" s="369"/>
      <c r="AC99" s="365">
        <f>IF(S99+X99&lt;0,0,S99+X99)</f>
        <v>0</v>
      </c>
      <c r="AD99" s="365"/>
      <c r="AE99" s="366"/>
      <c r="AF99" s="360"/>
      <c r="AG99" s="361"/>
      <c r="AH99" s="224">
        <v>5</v>
      </c>
      <c r="AI99" s="224"/>
      <c r="AJ99" s="224">
        <v>6</v>
      </c>
      <c r="AK99" s="224"/>
      <c r="AL99" s="13"/>
      <c r="AM99" s="378" t="s">
        <v>107</v>
      </c>
      <c r="AN99" s="378"/>
      <c r="AO99" s="378"/>
      <c r="AP99" s="378"/>
      <c r="AQ99" s="378"/>
      <c r="AR99" s="378"/>
      <c r="AS99" s="298">
        <f>IF(INDEX(Таблицы!AH378:AH396,Таблицы!Y384,1)="",0,INDEX(Таблицы!AH378:AH396,Таблицы!Y384,1))</f>
        <v>0</v>
      </c>
      <c r="AT99" s="369"/>
      <c r="AU99" s="365">
        <f>IF(INDEX(Таблицы!AI378:AI396,Таблицы!Y384,1)&lt;Таблицы!BI390/100,0,INDEX(Таблицы!AI378:AI396,Таблицы!Y384,1)-Таблицы!BI390/100)</f>
        <v>0</v>
      </c>
      <c r="AV99" s="365"/>
      <c r="AW99" s="366"/>
      <c r="AX99" s="360"/>
      <c r="AY99" s="361"/>
      <c r="AZ99" s="224">
        <v>5</v>
      </c>
      <c r="BA99" s="224"/>
      <c r="BB99" s="224">
        <v>6</v>
      </c>
      <c r="BC99" s="224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29"/>
    </row>
    <row r="100" spans="1:69" ht="7.5" customHeight="1">
      <c r="A100" s="19"/>
      <c r="B100" s="227"/>
      <c r="C100" s="227"/>
      <c r="D100" s="227"/>
      <c r="E100" s="227"/>
      <c r="F100" s="227"/>
      <c r="G100" s="227"/>
      <c r="H100" s="227"/>
      <c r="I100" s="227"/>
      <c r="J100" s="58"/>
      <c r="K100" s="378"/>
      <c r="L100" s="378"/>
      <c r="M100" s="378"/>
      <c r="N100" s="378"/>
      <c r="O100" s="378"/>
      <c r="P100" s="378"/>
      <c r="Q100" s="387"/>
      <c r="R100" s="369"/>
      <c r="S100" s="367"/>
      <c r="T100" s="367"/>
      <c r="U100" s="368"/>
      <c r="V100" s="274"/>
      <c r="W100" s="386"/>
      <c r="X100" s="381"/>
      <c r="Y100" s="381"/>
      <c r="Z100" s="382"/>
      <c r="AA100" s="298"/>
      <c r="AB100" s="369"/>
      <c r="AC100" s="367"/>
      <c r="AD100" s="367"/>
      <c r="AE100" s="368"/>
      <c r="AF100" s="360"/>
      <c r="AG100" s="361"/>
      <c r="AH100" s="224"/>
      <c r="AI100" s="224"/>
      <c r="AJ100" s="224"/>
      <c r="AK100" s="224"/>
      <c r="AL100" s="13"/>
      <c r="AM100" s="378"/>
      <c r="AN100" s="378"/>
      <c r="AO100" s="378"/>
      <c r="AP100" s="378"/>
      <c r="AQ100" s="378"/>
      <c r="AR100" s="378"/>
      <c r="AS100" s="298"/>
      <c r="AT100" s="369"/>
      <c r="AU100" s="367"/>
      <c r="AV100" s="367"/>
      <c r="AW100" s="368"/>
      <c r="AX100" s="360"/>
      <c r="AY100" s="361"/>
      <c r="AZ100" s="224"/>
      <c r="BA100" s="224"/>
      <c r="BB100" s="224"/>
      <c r="BC100" s="224"/>
      <c r="BD100" s="13"/>
      <c r="BE100" s="321" t="s">
        <v>1077</v>
      </c>
      <c r="BF100" s="322"/>
      <c r="BG100" s="322"/>
      <c r="BH100" s="322"/>
      <c r="BI100" s="322"/>
      <c r="BJ100" s="322"/>
      <c r="BK100" s="322"/>
      <c r="BL100" s="322"/>
      <c r="BM100" s="322"/>
      <c r="BN100" s="322"/>
      <c r="BO100" s="322"/>
      <c r="BP100" s="323"/>
      <c r="BQ100" s="29"/>
    </row>
    <row r="101" spans="1:69" ht="7.5" customHeight="1" thickBot="1">
      <c r="A101" s="59"/>
      <c r="B101" s="172" t="s">
        <v>295</v>
      </c>
      <c r="C101" s="172"/>
      <c r="D101" s="172"/>
      <c r="E101" s="172"/>
      <c r="F101" s="172"/>
      <c r="G101" s="172"/>
      <c r="H101" s="172"/>
      <c r="I101" s="172"/>
      <c r="J101" s="49"/>
      <c r="K101" s="378" t="s">
        <v>105</v>
      </c>
      <c r="L101" s="378"/>
      <c r="M101" s="378"/>
      <c r="N101" s="378"/>
      <c r="O101" s="378"/>
      <c r="P101" s="378"/>
      <c r="Q101" s="387">
        <f>IF(INDEX(Таблицы!AJ332:AJ375,Таблицы!Y338,1)="",0,INDEX(Таблицы!AJ332:AJ375,Таблицы!Y338,1))+INDEX(Таблицы!AB2:AB10,Таблицы!K1,1)+IF(AND(Таблицы!K1=8,OR(Таблицы!F218=26,Таблицы!F219=26)),5,0)</f>
        <v>0</v>
      </c>
      <c r="R101" s="369"/>
      <c r="S101" s="365">
        <f>IF(INDEX(Таблицы!AK332:AK375,Таблицы!Y338,1)&lt;Таблицы!BJ344/100,0,INDEX(Таблицы!AK332:AK375,Таблицы!Y338,1)-Таблицы!BJ344/100)+INDEX(Таблицы!AC2:AC10,Таблицы!K1,1)</f>
        <v>0</v>
      </c>
      <c r="T101" s="365"/>
      <c r="U101" s="366"/>
      <c r="V101" s="274"/>
      <c r="W101" s="386"/>
      <c r="X101" s="379"/>
      <c r="Y101" s="379"/>
      <c r="Z101" s="380"/>
      <c r="AA101" s="298">
        <f>Q101+V101</f>
        <v>0</v>
      </c>
      <c r="AB101" s="369"/>
      <c r="AC101" s="365">
        <f>IF(S101+X101&lt;0,0,S101+X101)</f>
        <v>0</v>
      </c>
      <c r="AD101" s="365"/>
      <c r="AE101" s="366"/>
      <c r="AF101" s="360"/>
      <c r="AG101" s="361"/>
      <c r="AH101" s="224">
        <v>7</v>
      </c>
      <c r="AI101" s="224"/>
      <c r="AJ101" s="224">
        <v>8</v>
      </c>
      <c r="AK101" s="224"/>
      <c r="AL101" s="13"/>
      <c r="AM101" s="378" t="s">
        <v>105</v>
      </c>
      <c r="AN101" s="378"/>
      <c r="AO101" s="378"/>
      <c r="AP101" s="378"/>
      <c r="AQ101" s="378"/>
      <c r="AR101" s="378"/>
      <c r="AS101" s="298">
        <f>IF(INDEX(Таблицы!AJ378:AJ396,Таблицы!Y384,1)="",0,INDEX(Таблицы!AJ378:AJ396,Таблицы!Y384,1))</f>
        <v>0</v>
      </c>
      <c r="AT101" s="369"/>
      <c r="AU101" s="365">
        <f>IF(INDEX(Таблицы!AK378:AK396,Таблицы!Y384,1)&lt;Таблицы!BI390/100,0,INDEX(Таблицы!AK378:AK396,Таблицы!Y384,1)-Таблицы!BI390/100)</f>
        <v>0</v>
      </c>
      <c r="AV101" s="365"/>
      <c r="AW101" s="366"/>
      <c r="AX101" s="360"/>
      <c r="AY101" s="361"/>
      <c r="AZ101" s="224">
        <v>7</v>
      </c>
      <c r="BA101" s="224"/>
      <c r="BB101" s="224">
        <v>8</v>
      </c>
      <c r="BC101" s="224"/>
      <c r="BD101" s="13"/>
      <c r="BE101" s="324"/>
      <c r="BF101" s="325"/>
      <c r="BG101" s="325"/>
      <c r="BH101" s="325"/>
      <c r="BI101" s="325"/>
      <c r="BJ101" s="325"/>
      <c r="BK101" s="325"/>
      <c r="BL101" s="325"/>
      <c r="BM101" s="325"/>
      <c r="BN101" s="325"/>
      <c r="BO101" s="325"/>
      <c r="BP101" s="326"/>
      <c r="BQ101" s="29"/>
    </row>
    <row r="102" spans="1:69" ht="7.5" customHeight="1">
      <c r="A102" s="19"/>
      <c r="B102" s="172"/>
      <c r="C102" s="172"/>
      <c r="D102" s="172"/>
      <c r="E102" s="172"/>
      <c r="F102" s="172"/>
      <c r="G102" s="172"/>
      <c r="H102" s="172"/>
      <c r="I102" s="172"/>
      <c r="J102" s="49"/>
      <c r="K102" s="378"/>
      <c r="L102" s="378"/>
      <c r="M102" s="378"/>
      <c r="N102" s="378"/>
      <c r="O102" s="378"/>
      <c r="P102" s="378"/>
      <c r="Q102" s="387"/>
      <c r="R102" s="369"/>
      <c r="S102" s="367"/>
      <c r="T102" s="367"/>
      <c r="U102" s="368"/>
      <c r="V102" s="274"/>
      <c r="W102" s="386"/>
      <c r="X102" s="381"/>
      <c r="Y102" s="381"/>
      <c r="Z102" s="382"/>
      <c r="AA102" s="298"/>
      <c r="AB102" s="369"/>
      <c r="AC102" s="367"/>
      <c r="AD102" s="367"/>
      <c r="AE102" s="368"/>
      <c r="AF102" s="360"/>
      <c r="AG102" s="361"/>
      <c r="AH102" s="224"/>
      <c r="AI102" s="224"/>
      <c r="AJ102" s="224"/>
      <c r="AK102" s="224"/>
      <c r="AL102" s="13"/>
      <c r="AM102" s="378"/>
      <c r="AN102" s="378"/>
      <c r="AO102" s="378"/>
      <c r="AP102" s="378"/>
      <c r="AQ102" s="378"/>
      <c r="AR102" s="378"/>
      <c r="AS102" s="298"/>
      <c r="AT102" s="369"/>
      <c r="AU102" s="367"/>
      <c r="AV102" s="367"/>
      <c r="AW102" s="368"/>
      <c r="AX102" s="360"/>
      <c r="AY102" s="361"/>
      <c r="AZ102" s="224"/>
      <c r="BA102" s="224"/>
      <c r="BB102" s="224"/>
      <c r="BC102" s="224"/>
      <c r="BD102" s="13"/>
      <c r="BE102" s="395"/>
      <c r="BF102" s="395"/>
      <c r="BG102" s="395"/>
      <c r="BH102" s="395"/>
      <c r="BI102" s="395"/>
      <c r="BJ102" s="395"/>
      <c r="BK102" s="395"/>
      <c r="BL102" s="395"/>
      <c r="BM102" s="395"/>
      <c r="BN102" s="395"/>
      <c r="BO102" s="395"/>
      <c r="BP102" s="395"/>
      <c r="BQ102" s="29"/>
    </row>
    <row r="103" spans="1:69" ht="7.5" customHeight="1">
      <c r="A103" s="19"/>
      <c r="B103" s="228">
        <f>B95+B99</f>
        <v>5</v>
      </c>
      <c r="C103" s="228"/>
      <c r="D103" s="228"/>
      <c r="E103" s="228"/>
      <c r="F103" s="228"/>
      <c r="G103" s="228"/>
      <c r="H103" s="228"/>
      <c r="I103" s="228"/>
      <c r="J103" s="58"/>
      <c r="K103" s="378" t="s">
        <v>106</v>
      </c>
      <c r="L103" s="378"/>
      <c r="M103" s="378"/>
      <c r="N103" s="378"/>
      <c r="O103" s="378"/>
      <c r="P103" s="378"/>
      <c r="Q103" s="387">
        <f>IF(INDEX(Таблицы!AL332:AL375,Таблицы!Y338,1)="",0,INDEX(Таблицы!AL332:AL375,Таблицы!Y338,1))+INDEX(Таблицы!AD2:AD10,Таблицы!K1,1)+IF(AND(Таблицы!K1=8,OR(Таблицы!F218=26,Таблицы!F219=26)),5,0)</f>
        <v>0</v>
      </c>
      <c r="R103" s="369"/>
      <c r="S103" s="365">
        <f>IF(INDEX(Таблицы!AM332:AM375,Таблицы!Y338,1)&lt;Таблицы!BJ344/100,0,INDEX(Таблицы!AM332:AM375,Таблицы!Y338,1)-Таблицы!BJ344/100)+INDEX(Таблицы!AE2:AE10,Таблицы!K1,1)</f>
        <v>0</v>
      </c>
      <c r="T103" s="365"/>
      <c r="U103" s="366"/>
      <c r="V103" s="274"/>
      <c r="W103" s="386"/>
      <c r="X103" s="379"/>
      <c r="Y103" s="379"/>
      <c r="Z103" s="380"/>
      <c r="AA103" s="298">
        <f>Q103+V103</f>
        <v>0</v>
      </c>
      <c r="AB103" s="369"/>
      <c r="AC103" s="365">
        <f>IF(S103+X103&lt;0,0,S103+X103)</f>
        <v>0</v>
      </c>
      <c r="AD103" s="365"/>
      <c r="AE103" s="366"/>
      <c r="AF103" s="360"/>
      <c r="AG103" s="361"/>
      <c r="AH103" s="224">
        <v>9</v>
      </c>
      <c r="AI103" s="224"/>
      <c r="AJ103" s="224">
        <v>10</v>
      </c>
      <c r="AK103" s="224"/>
      <c r="AL103" s="13"/>
      <c r="AM103" s="378" t="s">
        <v>106</v>
      </c>
      <c r="AN103" s="378"/>
      <c r="AO103" s="378"/>
      <c r="AP103" s="378"/>
      <c r="AQ103" s="378"/>
      <c r="AR103" s="378"/>
      <c r="AS103" s="298" t="s">
        <v>285</v>
      </c>
      <c r="AT103" s="369"/>
      <c r="AU103" s="365" t="s">
        <v>285</v>
      </c>
      <c r="AV103" s="365"/>
      <c r="AW103" s="366"/>
      <c r="AX103" s="360"/>
      <c r="AY103" s="361"/>
      <c r="AZ103" s="224">
        <v>9</v>
      </c>
      <c r="BA103" s="224"/>
      <c r="BB103" s="224">
        <v>10</v>
      </c>
      <c r="BC103" s="224"/>
      <c r="BD103" s="13"/>
      <c r="BE103" s="261"/>
      <c r="BF103" s="261"/>
      <c r="BG103" s="261"/>
      <c r="BH103" s="261"/>
      <c r="BI103" s="261"/>
      <c r="BJ103" s="261"/>
      <c r="BK103" s="261"/>
      <c r="BL103" s="261"/>
      <c r="BM103" s="261"/>
      <c r="BN103" s="261"/>
      <c r="BO103" s="261"/>
      <c r="BP103" s="261"/>
      <c r="BQ103" s="29"/>
    </row>
    <row r="104" spans="1:69" ht="7.5" customHeight="1">
      <c r="A104" s="19"/>
      <c r="B104" s="228"/>
      <c r="C104" s="228"/>
      <c r="D104" s="228"/>
      <c r="E104" s="228"/>
      <c r="F104" s="228"/>
      <c r="G104" s="228"/>
      <c r="H104" s="228"/>
      <c r="I104" s="228"/>
      <c r="J104" s="26"/>
      <c r="K104" s="378"/>
      <c r="L104" s="378"/>
      <c r="M104" s="378"/>
      <c r="N104" s="378"/>
      <c r="O104" s="378"/>
      <c r="P104" s="378"/>
      <c r="Q104" s="387"/>
      <c r="R104" s="369"/>
      <c r="S104" s="367"/>
      <c r="T104" s="367"/>
      <c r="U104" s="368"/>
      <c r="V104" s="274"/>
      <c r="W104" s="386"/>
      <c r="X104" s="381"/>
      <c r="Y104" s="381"/>
      <c r="Z104" s="382"/>
      <c r="AA104" s="298"/>
      <c r="AB104" s="369"/>
      <c r="AC104" s="367"/>
      <c r="AD104" s="367"/>
      <c r="AE104" s="368"/>
      <c r="AF104" s="362"/>
      <c r="AG104" s="363"/>
      <c r="AH104" s="224"/>
      <c r="AI104" s="224"/>
      <c r="AJ104" s="224"/>
      <c r="AK104" s="224"/>
      <c r="AL104" s="13"/>
      <c r="AM104" s="378"/>
      <c r="AN104" s="378"/>
      <c r="AO104" s="378"/>
      <c r="AP104" s="378"/>
      <c r="AQ104" s="378"/>
      <c r="AR104" s="378"/>
      <c r="AS104" s="298"/>
      <c r="AT104" s="369"/>
      <c r="AU104" s="367"/>
      <c r="AV104" s="367"/>
      <c r="AW104" s="368"/>
      <c r="AX104" s="362"/>
      <c r="AY104" s="363"/>
      <c r="AZ104" s="224"/>
      <c r="BA104" s="224"/>
      <c r="BB104" s="224"/>
      <c r="BC104" s="224"/>
      <c r="BD104" s="13"/>
      <c r="BE104" s="261"/>
      <c r="BF104" s="261"/>
      <c r="BG104" s="261"/>
      <c r="BH104" s="261"/>
      <c r="BI104" s="261"/>
      <c r="BJ104" s="261"/>
      <c r="BK104" s="261"/>
      <c r="BL104" s="261"/>
      <c r="BM104" s="261"/>
      <c r="BN104" s="261"/>
      <c r="BO104" s="261"/>
      <c r="BP104" s="261"/>
      <c r="BQ104" s="29"/>
    </row>
    <row r="105" spans="1:69" ht="7.5" customHeight="1">
      <c r="A105" s="65"/>
      <c r="B105" s="46"/>
      <c r="C105" s="46"/>
      <c r="D105" s="46"/>
      <c r="E105" s="46"/>
      <c r="F105" s="68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261"/>
      <c r="BF105" s="261"/>
      <c r="BG105" s="261"/>
      <c r="BH105" s="261"/>
      <c r="BI105" s="261"/>
      <c r="BJ105" s="261"/>
      <c r="BK105" s="261"/>
      <c r="BL105" s="261"/>
      <c r="BM105" s="261"/>
      <c r="BN105" s="261"/>
      <c r="BO105" s="261"/>
      <c r="BP105" s="261"/>
      <c r="BQ105" s="29"/>
    </row>
    <row r="106" spans="1:69" ht="7.5" customHeight="1" thickBot="1">
      <c r="A106" s="19"/>
      <c r="B106" s="13"/>
      <c r="C106" s="13"/>
      <c r="D106" s="13"/>
      <c r="E106" s="13"/>
      <c r="F106" s="35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261"/>
      <c r="BF106" s="261"/>
      <c r="BG106" s="261"/>
      <c r="BH106" s="261"/>
      <c r="BI106" s="261"/>
      <c r="BJ106" s="261"/>
      <c r="BK106" s="261"/>
      <c r="BL106" s="261"/>
      <c r="BM106" s="261"/>
      <c r="BN106" s="261"/>
      <c r="BO106" s="261"/>
      <c r="BP106" s="261"/>
      <c r="BQ106" s="29"/>
    </row>
    <row r="107" spans="1:69" ht="7.5" customHeight="1">
      <c r="A107" s="19"/>
      <c r="B107" s="370" t="s">
        <v>301</v>
      </c>
      <c r="C107" s="371"/>
      <c r="D107" s="371"/>
      <c r="E107" s="371"/>
      <c r="F107" s="371"/>
      <c r="G107" s="371"/>
      <c r="H107" s="371"/>
      <c r="I107" s="371"/>
      <c r="J107" s="371"/>
      <c r="K107" s="371"/>
      <c r="L107" s="371"/>
      <c r="M107" s="371"/>
      <c r="N107" s="371"/>
      <c r="O107" s="371"/>
      <c r="P107" s="371"/>
      <c r="Q107" s="371"/>
      <c r="R107" s="371"/>
      <c r="S107" s="371"/>
      <c r="T107" s="371"/>
      <c r="U107" s="371"/>
      <c r="V107" s="371"/>
      <c r="W107" s="371"/>
      <c r="X107" s="371"/>
      <c r="Y107" s="371"/>
      <c r="Z107" s="371"/>
      <c r="AA107" s="371"/>
      <c r="AB107" s="371"/>
      <c r="AC107" s="371"/>
      <c r="AD107" s="371"/>
      <c r="AE107" s="371"/>
      <c r="AF107" s="371"/>
      <c r="AG107" s="371"/>
      <c r="AH107" s="371"/>
      <c r="AI107" s="371"/>
      <c r="AJ107" s="371"/>
      <c r="AK107" s="371"/>
      <c r="AL107" s="371"/>
      <c r="AM107" s="371"/>
      <c r="AN107" s="371"/>
      <c r="AO107" s="371"/>
      <c r="AP107" s="371"/>
      <c r="AQ107" s="371"/>
      <c r="AR107" s="371"/>
      <c r="AS107" s="371"/>
      <c r="AT107" s="371"/>
      <c r="AU107" s="371"/>
      <c r="AV107" s="371"/>
      <c r="AW107" s="371"/>
      <c r="AX107" s="371"/>
      <c r="AY107" s="371"/>
      <c r="AZ107" s="371"/>
      <c r="BA107" s="371"/>
      <c r="BB107" s="371"/>
      <c r="BC107" s="372"/>
      <c r="BD107" s="13"/>
      <c r="BE107" s="261"/>
      <c r="BF107" s="261"/>
      <c r="BG107" s="261"/>
      <c r="BH107" s="261"/>
      <c r="BI107" s="261"/>
      <c r="BJ107" s="261"/>
      <c r="BK107" s="261"/>
      <c r="BL107" s="261"/>
      <c r="BM107" s="261"/>
      <c r="BN107" s="261"/>
      <c r="BO107" s="261"/>
      <c r="BP107" s="261"/>
      <c r="BQ107" s="29"/>
    </row>
    <row r="108" spans="1:69" ht="7.5" customHeight="1">
      <c r="A108" s="19"/>
      <c r="B108" s="392"/>
      <c r="C108" s="393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3"/>
      <c r="V108" s="393"/>
      <c r="W108" s="393"/>
      <c r="X108" s="393"/>
      <c r="Y108" s="393"/>
      <c r="Z108" s="393"/>
      <c r="AA108" s="393"/>
      <c r="AB108" s="393"/>
      <c r="AC108" s="393"/>
      <c r="AD108" s="393"/>
      <c r="AE108" s="393"/>
      <c r="AF108" s="393"/>
      <c r="AG108" s="393"/>
      <c r="AH108" s="393"/>
      <c r="AI108" s="393"/>
      <c r="AJ108" s="393"/>
      <c r="AK108" s="393"/>
      <c r="AL108" s="393"/>
      <c r="AM108" s="393"/>
      <c r="AN108" s="393"/>
      <c r="AO108" s="393"/>
      <c r="AP108" s="393"/>
      <c r="AQ108" s="393"/>
      <c r="AR108" s="393"/>
      <c r="AS108" s="393"/>
      <c r="AT108" s="393"/>
      <c r="AU108" s="393"/>
      <c r="AV108" s="393"/>
      <c r="AW108" s="393"/>
      <c r="AX108" s="393"/>
      <c r="AY108" s="393"/>
      <c r="AZ108" s="393"/>
      <c r="BA108" s="393"/>
      <c r="BB108" s="393"/>
      <c r="BC108" s="394"/>
      <c r="BD108" s="13"/>
      <c r="BE108" s="261"/>
      <c r="BF108" s="261"/>
      <c r="BG108" s="261"/>
      <c r="BH108" s="261"/>
      <c r="BI108" s="261"/>
      <c r="BJ108" s="261"/>
      <c r="BK108" s="261"/>
      <c r="BL108" s="261"/>
      <c r="BM108" s="261"/>
      <c r="BN108" s="261"/>
      <c r="BO108" s="261"/>
      <c r="BP108" s="261"/>
      <c r="BQ108" s="29"/>
    </row>
    <row r="109" spans="1:69" ht="7.5" customHeight="1">
      <c r="A109" s="19"/>
      <c r="B109" s="336" t="s">
        <v>303</v>
      </c>
      <c r="C109" s="334" t="s">
        <v>304</v>
      </c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88" t="s">
        <v>98</v>
      </c>
      <c r="R109" s="388"/>
      <c r="S109" s="388"/>
      <c r="T109" s="388" t="s">
        <v>229</v>
      </c>
      <c r="U109" s="388"/>
      <c r="V109" s="388"/>
      <c r="W109" s="388" t="s">
        <v>302</v>
      </c>
      <c r="X109" s="388"/>
      <c r="Y109" s="388"/>
      <c r="Z109" s="388" t="s">
        <v>70</v>
      </c>
      <c r="AA109" s="388"/>
      <c r="AB109" s="388"/>
      <c r="AC109" s="334" t="s">
        <v>303</v>
      </c>
      <c r="AD109" s="334" t="s">
        <v>304</v>
      </c>
      <c r="AE109" s="334"/>
      <c r="AF109" s="334"/>
      <c r="AG109" s="334"/>
      <c r="AH109" s="334"/>
      <c r="AI109" s="334"/>
      <c r="AJ109" s="334"/>
      <c r="AK109" s="334"/>
      <c r="AL109" s="334"/>
      <c r="AM109" s="334"/>
      <c r="AN109" s="334"/>
      <c r="AO109" s="334"/>
      <c r="AP109" s="334"/>
      <c r="AQ109" s="334"/>
      <c r="AR109" s="388" t="s">
        <v>98</v>
      </c>
      <c r="AS109" s="388"/>
      <c r="AT109" s="388"/>
      <c r="AU109" s="388" t="s">
        <v>229</v>
      </c>
      <c r="AV109" s="388"/>
      <c r="AW109" s="388"/>
      <c r="AX109" s="388" t="s">
        <v>302</v>
      </c>
      <c r="AY109" s="388"/>
      <c r="AZ109" s="388"/>
      <c r="BA109" s="388" t="s">
        <v>70</v>
      </c>
      <c r="BB109" s="388"/>
      <c r="BC109" s="390"/>
      <c r="BD109" s="13"/>
      <c r="BE109" s="261"/>
      <c r="BF109" s="261"/>
      <c r="BG109" s="261"/>
      <c r="BH109" s="261"/>
      <c r="BI109" s="261"/>
      <c r="BJ109" s="261"/>
      <c r="BK109" s="261"/>
      <c r="BL109" s="261"/>
      <c r="BM109" s="261"/>
      <c r="BN109" s="261"/>
      <c r="BO109" s="261"/>
      <c r="BP109" s="261"/>
      <c r="BQ109" s="29"/>
    </row>
    <row r="110" spans="1:69" ht="7.5" customHeight="1" thickBot="1">
      <c r="A110" s="19"/>
      <c r="B110" s="337"/>
      <c r="C110" s="335"/>
      <c r="D110" s="335"/>
      <c r="E110" s="335"/>
      <c r="F110" s="335"/>
      <c r="G110" s="335"/>
      <c r="H110" s="335"/>
      <c r="I110" s="335"/>
      <c r="J110" s="335"/>
      <c r="K110" s="335"/>
      <c r="L110" s="335"/>
      <c r="M110" s="335"/>
      <c r="N110" s="335"/>
      <c r="O110" s="335"/>
      <c r="P110" s="335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35"/>
      <c r="AD110" s="335"/>
      <c r="AE110" s="335"/>
      <c r="AF110" s="335"/>
      <c r="AG110" s="335"/>
      <c r="AH110" s="335"/>
      <c r="AI110" s="335"/>
      <c r="AJ110" s="335"/>
      <c r="AK110" s="335"/>
      <c r="AL110" s="335"/>
      <c r="AM110" s="335"/>
      <c r="AN110" s="335"/>
      <c r="AO110" s="335"/>
      <c r="AP110" s="335"/>
      <c r="AQ110" s="335"/>
      <c r="AR110" s="389"/>
      <c r="AS110" s="389"/>
      <c r="AT110" s="389"/>
      <c r="AU110" s="389"/>
      <c r="AV110" s="389"/>
      <c r="AW110" s="389"/>
      <c r="AX110" s="389"/>
      <c r="AY110" s="389"/>
      <c r="AZ110" s="389"/>
      <c r="BA110" s="389"/>
      <c r="BB110" s="389"/>
      <c r="BC110" s="391"/>
      <c r="BD110" s="13"/>
      <c r="BE110" s="261"/>
      <c r="BF110" s="261"/>
      <c r="BG110" s="261"/>
      <c r="BH110" s="261"/>
      <c r="BI110" s="261"/>
      <c r="BJ110" s="261"/>
      <c r="BK110" s="261"/>
      <c r="BL110" s="261"/>
      <c r="BM110" s="261"/>
      <c r="BN110" s="261"/>
      <c r="BO110" s="261"/>
      <c r="BP110" s="261"/>
      <c r="BQ110" s="29"/>
    </row>
    <row r="111" spans="1:69" ht="7.5" customHeight="1">
      <c r="A111" s="19"/>
      <c r="B111" s="308">
        <v>1</v>
      </c>
      <c r="C111" s="499"/>
      <c r="D111" s="499"/>
      <c r="E111" s="499"/>
      <c r="F111" s="499"/>
      <c r="G111" s="499"/>
      <c r="H111" s="499"/>
      <c r="I111" s="499"/>
      <c r="J111" s="499"/>
      <c r="K111" s="499"/>
      <c r="L111" s="499"/>
      <c r="M111" s="499"/>
      <c r="N111" s="499"/>
      <c r="O111" s="499"/>
      <c r="P111" s="499"/>
      <c r="Q111" s="500"/>
      <c r="R111" s="500"/>
      <c r="S111" s="500"/>
      <c r="T111" s="299">
        <f>IF(INDEX(Таблицы!AA398:AA462,Таблицы!Y446,1)="",0,INDEX(Таблицы!AA398:AA462,Таблицы!Y446,1))</f>
        <v>0</v>
      </c>
      <c r="U111" s="299"/>
      <c r="V111" s="299"/>
      <c r="W111" s="299">
        <f>IF(AK39&lt;30,T111*3,IF(AK39&lt;126,T111*2+T111*(100-AK39)/100,T111*(AK39-100)/100))</f>
        <v>0</v>
      </c>
      <c r="X111" s="299"/>
      <c r="Y111" s="299"/>
      <c r="Z111" s="299">
        <f>IF(INDEX(Таблицы!AB398:AB462,Таблицы!Y446,1)="",0,INDEX(Таблицы!AB398:AB462,Таблицы!Y446,1))*Q111</f>
        <v>0</v>
      </c>
      <c r="AA111" s="299"/>
      <c r="AB111" s="299"/>
      <c r="AC111" s="307">
        <v>8</v>
      </c>
      <c r="AD111" s="309"/>
      <c r="AE111" s="310"/>
      <c r="AF111" s="310"/>
      <c r="AG111" s="310"/>
      <c r="AH111" s="310"/>
      <c r="AI111" s="310"/>
      <c r="AJ111" s="310"/>
      <c r="AK111" s="310"/>
      <c r="AL111" s="310"/>
      <c r="AM111" s="310"/>
      <c r="AN111" s="310"/>
      <c r="AO111" s="310"/>
      <c r="AP111" s="310"/>
      <c r="AQ111" s="311"/>
      <c r="AR111" s="315"/>
      <c r="AS111" s="316"/>
      <c r="AT111" s="317"/>
      <c r="AU111" s="299">
        <f>IF(INDEX(Таблицы!AA398:AA462,Таблицы!Y453,1)="",0,INDEX(Таблицы!AA398:AA462,Таблицы!Y453,1))</f>
        <v>0</v>
      </c>
      <c r="AV111" s="299"/>
      <c r="AW111" s="299"/>
      <c r="AX111" s="301">
        <f>IF(BL39&lt;30,AU111*3,IF(BL39&lt;126,AU111*2+AU111*(100-BL39)/100,AU111*(BL39-100)/100))</f>
        <v>0</v>
      </c>
      <c r="AY111" s="302"/>
      <c r="AZ111" s="303"/>
      <c r="BA111" s="299">
        <f>IF(INDEX(Таблицы!AB398:AB462,Таблицы!Y453,1)="",0,INDEX(Таблицы!AB398:AB462,Таблицы!Y453,1))*AR111</f>
        <v>0</v>
      </c>
      <c r="BB111" s="299"/>
      <c r="BC111" s="299"/>
      <c r="BD111" s="13"/>
      <c r="BE111" s="261"/>
      <c r="BF111" s="261"/>
      <c r="BG111" s="261"/>
      <c r="BH111" s="261"/>
      <c r="BI111" s="261"/>
      <c r="BJ111" s="261"/>
      <c r="BK111" s="261"/>
      <c r="BL111" s="261"/>
      <c r="BM111" s="261"/>
      <c r="BN111" s="261"/>
      <c r="BO111" s="261"/>
      <c r="BP111" s="261"/>
      <c r="BQ111" s="29"/>
    </row>
    <row r="112" spans="1:69" ht="7.5" customHeight="1">
      <c r="A112" s="19"/>
      <c r="B112" s="332"/>
      <c r="C112" s="333"/>
      <c r="D112" s="333"/>
      <c r="E112" s="333"/>
      <c r="F112" s="333"/>
      <c r="G112" s="333"/>
      <c r="H112" s="333"/>
      <c r="I112" s="333"/>
      <c r="J112" s="333"/>
      <c r="K112" s="333"/>
      <c r="L112" s="333"/>
      <c r="M112" s="333"/>
      <c r="N112" s="333"/>
      <c r="O112" s="333"/>
      <c r="P112" s="333"/>
      <c r="Q112" s="331"/>
      <c r="R112" s="331"/>
      <c r="S112" s="331"/>
      <c r="T112" s="300"/>
      <c r="U112" s="300"/>
      <c r="V112" s="300"/>
      <c r="W112" s="300"/>
      <c r="X112" s="300"/>
      <c r="Y112" s="300"/>
      <c r="Z112" s="300"/>
      <c r="AA112" s="300"/>
      <c r="AB112" s="300"/>
      <c r="AC112" s="307"/>
      <c r="AD112" s="309"/>
      <c r="AE112" s="310"/>
      <c r="AF112" s="310"/>
      <c r="AG112" s="310"/>
      <c r="AH112" s="310"/>
      <c r="AI112" s="310"/>
      <c r="AJ112" s="310"/>
      <c r="AK112" s="310"/>
      <c r="AL112" s="310"/>
      <c r="AM112" s="310"/>
      <c r="AN112" s="310"/>
      <c r="AO112" s="310"/>
      <c r="AP112" s="310"/>
      <c r="AQ112" s="311"/>
      <c r="AR112" s="315"/>
      <c r="AS112" s="316"/>
      <c r="AT112" s="317"/>
      <c r="AU112" s="300"/>
      <c r="AV112" s="300"/>
      <c r="AW112" s="300"/>
      <c r="AX112" s="301"/>
      <c r="AY112" s="302"/>
      <c r="AZ112" s="303"/>
      <c r="BA112" s="300"/>
      <c r="BB112" s="300"/>
      <c r="BC112" s="300"/>
      <c r="BD112" s="13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29"/>
    </row>
    <row r="113" spans="1:69" ht="7.5" customHeight="1" thickBot="1">
      <c r="A113" s="19"/>
      <c r="B113" s="332"/>
      <c r="C113" s="333"/>
      <c r="D113" s="333"/>
      <c r="E113" s="333"/>
      <c r="F113" s="333"/>
      <c r="G113" s="333"/>
      <c r="H113" s="333"/>
      <c r="I113" s="333"/>
      <c r="J113" s="333"/>
      <c r="K113" s="333"/>
      <c r="L113" s="333"/>
      <c r="M113" s="333"/>
      <c r="N113" s="333"/>
      <c r="O113" s="333"/>
      <c r="P113" s="333"/>
      <c r="Q113" s="331"/>
      <c r="R113" s="331"/>
      <c r="S113" s="331"/>
      <c r="T113" s="300"/>
      <c r="U113" s="300"/>
      <c r="V113" s="300"/>
      <c r="W113" s="300"/>
      <c r="X113" s="300"/>
      <c r="Y113" s="300"/>
      <c r="Z113" s="300"/>
      <c r="AA113" s="300"/>
      <c r="AB113" s="300"/>
      <c r="AC113" s="308"/>
      <c r="AD113" s="312"/>
      <c r="AE113" s="313"/>
      <c r="AF113" s="313"/>
      <c r="AG113" s="313"/>
      <c r="AH113" s="313"/>
      <c r="AI113" s="313"/>
      <c r="AJ113" s="313"/>
      <c r="AK113" s="313"/>
      <c r="AL113" s="313"/>
      <c r="AM113" s="313"/>
      <c r="AN113" s="313"/>
      <c r="AO113" s="313"/>
      <c r="AP113" s="313"/>
      <c r="AQ113" s="314"/>
      <c r="AR113" s="318"/>
      <c r="AS113" s="319"/>
      <c r="AT113" s="320"/>
      <c r="AU113" s="300"/>
      <c r="AV113" s="300"/>
      <c r="AW113" s="300"/>
      <c r="AX113" s="304"/>
      <c r="AY113" s="305"/>
      <c r="AZ113" s="306"/>
      <c r="BA113" s="300"/>
      <c r="BB113" s="300"/>
      <c r="BC113" s="300"/>
      <c r="BD113" s="13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29"/>
    </row>
    <row r="114" spans="1:69" ht="7.5" customHeight="1">
      <c r="A114" s="19"/>
      <c r="B114" s="332">
        <v>2</v>
      </c>
      <c r="C114" s="333"/>
      <c r="D114" s="333"/>
      <c r="E114" s="333"/>
      <c r="F114" s="333"/>
      <c r="G114" s="333"/>
      <c r="H114" s="333"/>
      <c r="I114" s="333"/>
      <c r="J114" s="333"/>
      <c r="K114" s="333"/>
      <c r="L114" s="333"/>
      <c r="M114" s="333"/>
      <c r="N114" s="333"/>
      <c r="O114" s="333"/>
      <c r="P114" s="333"/>
      <c r="Q114" s="331"/>
      <c r="R114" s="331"/>
      <c r="S114" s="331"/>
      <c r="T114" s="299">
        <f>IF(INDEX(Таблицы!AA398:AA462,Таблицы!Y447,1)="",0,INDEX(Таблицы!AA398:AA462,Таблицы!Y447,1))</f>
        <v>0</v>
      </c>
      <c r="U114" s="299"/>
      <c r="V114" s="299"/>
      <c r="W114" s="300">
        <f>IF(AK39&lt;30,T114*3,IF(AK39&lt;126,T114*2+T114*(100-AK39)/100,T114*(AK39-100)/100))</f>
        <v>0</v>
      </c>
      <c r="X114" s="300"/>
      <c r="Y114" s="300"/>
      <c r="Z114" s="299">
        <f>IF(INDEX(Таблицы!AB398:AB462,Таблицы!Y447,1)="",0,INDEX(Таблицы!AB398:AB462,Таблицы!Y447,1))*Q114</f>
        <v>0</v>
      </c>
      <c r="AA114" s="299"/>
      <c r="AB114" s="299"/>
      <c r="AC114" s="273">
        <v>9</v>
      </c>
      <c r="AD114" s="272"/>
      <c r="AE114" s="272"/>
      <c r="AF114" s="272"/>
      <c r="AG114" s="272"/>
      <c r="AH114" s="272"/>
      <c r="AI114" s="272"/>
      <c r="AJ114" s="272"/>
      <c r="AK114" s="272"/>
      <c r="AL114" s="272"/>
      <c r="AM114" s="272"/>
      <c r="AN114" s="272"/>
      <c r="AO114" s="272"/>
      <c r="AP114" s="272"/>
      <c r="AQ114" s="272"/>
      <c r="AR114" s="274"/>
      <c r="AS114" s="274"/>
      <c r="AT114" s="274"/>
      <c r="AU114" s="274"/>
      <c r="AV114" s="274"/>
      <c r="AW114" s="274"/>
      <c r="AX114" s="298">
        <f>IF(BL39&lt;30,AU114*3,IF(BL39&lt;126,AU114*2+AU114*(100-BL39)/100,AU114*(BL39-100)/100))</f>
        <v>0</v>
      </c>
      <c r="AY114" s="298"/>
      <c r="AZ114" s="298"/>
      <c r="BA114" s="274"/>
      <c r="BB114" s="274"/>
      <c r="BC114" s="274"/>
      <c r="BD114" s="13"/>
      <c r="BE114" s="321" t="s">
        <v>326</v>
      </c>
      <c r="BF114" s="322"/>
      <c r="BG114" s="322"/>
      <c r="BH114" s="322"/>
      <c r="BI114" s="322"/>
      <c r="BJ114" s="322"/>
      <c r="BK114" s="322"/>
      <c r="BL114" s="322"/>
      <c r="BM114" s="322"/>
      <c r="BN114" s="322"/>
      <c r="BO114" s="322"/>
      <c r="BP114" s="323"/>
      <c r="BQ114" s="29"/>
    </row>
    <row r="115" spans="1:69" ht="7.5" customHeight="1" thickBot="1">
      <c r="A115" s="19"/>
      <c r="B115" s="332"/>
      <c r="C115" s="333"/>
      <c r="D115" s="333"/>
      <c r="E115" s="333"/>
      <c r="F115" s="333"/>
      <c r="G115" s="333"/>
      <c r="H115" s="333"/>
      <c r="I115" s="333"/>
      <c r="J115" s="333"/>
      <c r="K115" s="333"/>
      <c r="L115" s="333"/>
      <c r="M115" s="333"/>
      <c r="N115" s="333"/>
      <c r="O115" s="333"/>
      <c r="P115" s="333"/>
      <c r="Q115" s="331"/>
      <c r="R115" s="331"/>
      <c r="S115" s="331"/>
      <c r="T115" s="300"/>
      <c r="U115" s="300"/>
      <c r="V115" s="300"/>
      <c r="W115" s="300"/>
      <c r="X115" s="300"/>
      <c r="Y115" s="300"/>
      <c r="Z115" s="300"/>
      <c r="AA115" s="300"/>
      <c r="AB115" s="300"/>
      <c r="AC115" s="273"/>
      <c r="AD115" s="272"/>
      <c r="AE115" s="272"/>
      <c r="AF115" s="272"/>
      <c r="AG115" s="272"/>
      <c r="AH115" s="272"/>
      <c r="AI115" s="272"/>
      <c r="AJ115" s="272"/>
      <c r="AK115" s="272"/>
      <c r="AL115" s="272"/>
      <c r="AM115" s="272"/>
      <c r="AN115" s="272"/>
      <c r="AO115" s="272"/>
      <c r="AP115" s="272"/>
      <c r="AQ115" s="272"/>
      <c r="AR115" s="274"/>
      <c r="AS115" s="274"/>
      <c r="AT115" s="274"/>
      <c r="AU115" s="274"/>
      <c r="AV115" s="274"/>
      <c r="AW115" s="274"/>
      <c r="AX115" s="298"/>
      <c r="AY115" s="298"/>
      <c r="AZ115" s="298"/>
      <c r="BA115" s="274"/>
      <c r="BB115" s="274"/>
      <c r="BC115" s="274"/>
      <c r="BD115" s="13"/>
      <c r="BE115" s="324"/>
      <c r="BF115" s="325"/>
      <c r="BG115" s="325"/>
      <c r="BH115" s="325"/>
      <c r="BI115" s="325"/>
      <c r="BJ115" s="325"/>
      <c r="BK115" s="325"/>
      <c r="BL115" s="325"/>
      <c r="BM115" s="325"/>
      <c r="BN115" s="325"/>
      <c r="BO115" s="325"/>
      <c r="BP115" s="326"/>
      <c r="BQ115" s="29"/>
    </row>
    <row r="116" spans="1:69" ht="7.5" customHeight="1">
      <c r="A116" s="19"/>
      <c r="B116" s="332"/>
      <c r="C116" s="333"/>
      <c r="D116" s="333"/>
      <c r="E116" s="333"/>
      <c r="F116" s="333"/>
      <c r="G116" s="333"/>
      <c r="H116" s="333"/>
      <c r="I116" s="333"/>
      <c r="J116" s="333"/>
      <c r="K116" s="333"/>
      <c r="L116" s="333"/>
      <c r="M116" s="333"/>
      <c r="N116" s="333"/>
      <c r="O116" s="333"/>
      <c r="P116" s="333"/>
      <c r="Q116" s="331"/>
      <c r="R116" s="331"/>
      <c r="S116" s="331"/>
      <c r="T116" s="300"/>
      <c r="U116" s="300"/>
      <c r="V116" s="300"/>
      <c r="W116" s="300"/>
      <c r="X116" s="300"/>
      <c r="Y116" s="300"/>
      <c r="Z116" s="300"/>
      <c r="AA116" s="300"/>
      <c r="AB116" s="300"/>
      <c r="AC116" s="273">
        <v>10</v>
      </c>
      <c r="AD116" s="272"/>
      <c r="AE116" s="272"/>
      <c r="AF116" s="272"/>
      <c r="AG116" s="272"/>
      <c r="AH116" s="272"/>
      <c r="AI116" s="272"/>
      <c r="AJ116" s="272"/>
      <c r="AK116" s="272"/>
      <c r="AL116" s="272"/>
      <c r="AM116" s="272"/>
      <c r="AN116" s="272"/>
      <c r="AO116" s="272"/>
      <c r="AP116" s="272"/>
      <c r="AQ116" s="272"/>
      <c r="AR116" s="274"/>
      <c r="AS116" s="274"/>
      <c r="AT116" s="274"/>
      <c r="AU116" s="274"/>
      <c r="AV116" s="274"/>
      <c r="AW116" s="274"/>
      <c r="AX116" s="298">
        <f>IF(BL39&lt;30,AU116*3,IF(BL39&lt;126,AU116*2+AU116*(100-BL39)/100,AU116*(BL39-100)/100))</f>
        <v>0</v>
      </c>
      <c r="AY116" s="298"/>
      <c r="AZ116" s="298"/>
      <c r="BA116" s="274"/>
      <c r="BB116" s="274"/>
      <c r="BC116" s="274"/>
      <c r="BD116" s="13"/>
      <c r="BE116" s="261"/>
      <c r="BF116" s="261"/>
      <c r="BG116" s="261"/>
      <c r="BH116" s="261"/>
      <c r="BI116" s="261"/>
      <c r="BJ116" s="261"/>
      <c r="BK116" s="261"/>
      <c r="BL116" s="261"/>
      <c r="BM116" s="261"/>
      <c r="BN116" s="261"/>
      <c r="BO116" s="261"/>
      <c r="BP116" s="261"/>
      <c r="BQ116" s="29"/>
    </row>
    <row r="117" spans="1:69" ht="7.5" customHeight="1">
      <c r="A117" s="19"/>
      <c r="B117" s="332">
        <v>3</v>
      </c>
      <c r="C117" s="333"/>
      <c r="D117" s="333"/>
      <c r="E117" s="333"/>
      <c r="F117" s="333"/>
      <c r="G117" s="333"/>
      <c r="H117" s="333"/>
      <c r="I117" s="333"/>
      <c r="J117" s="333"/>
      <c r="K117" s="333"/>
      <c r="L117" s="333"/>
      <c r="M117" s="333"/>
      <c r="N117" s="333"/>
      <c r="O117" s="333"/>
      <c r="P117" s="333"/>
      <c r="Q117" s="331"/>
      <c r="R117" s="331"/>
      <c r="S117" s="331"/>
      <c r="T117" s="299">
        <f>IF(INDEX(Таблицы!AA398:AA462,Таблицы!Y448,1)="",0,INDEX(Таблицы!AA398:AA462,Таблицы!Y448,1))</f>
        <v>0</v>
      </c>
      <c r="U117" s="299"/>
      <c r="V117" s="299"/>
      <c r="W117" s="300">
        <f>IF(AK39&lt;30,T117*3,IF(AK39&lt;126,T117*2+T117*(100-AK39)/100,T117*(AK39-100)/100))</f>
        <v>0</v>
      </c>
      <c r="X117" s="300"/>
      <c r="Y117" s="300"/>
      <c r="Z117" s="299">
        <f>IF(INDEX(Таблицы!AB398:AB462,Таблицы!Y448,1)="",0,INDEX(Таблицы!AB398:AB462,Таблицы!Y448,1))*Q117</f>
        <v>0</v>
      </c>
      <c r="AA117" s="299"/>
      <c r="AB117" s="299"/>
      <c r="AC117" s="273"/>
      <c r="AD117" s="272"/>
      <c r="AE117" s="272"/>
      <c r="AF117" s="272"/>
      <c r="AG117" s="272"/>
      <c r="AH117" s="272"/>
      <c r="AI117" s="272"/>
      <c r="AJ117" s="272"/>
      <c r="AK117" s="272"/>
      <c r="AL117" s="272"/>
      <c r="AM117" s="272"/>
      <c r="AN117" s="272"/>
      <c r="AO117" s="272"/>
      <c r="AP117" s="272"/>
      <c r="AQ117" s="272"/>
      <c r="AR117" s="274"/>
      <c r="AS117" s="274"/>
      <c r="AT117" s="274"/>
      <c r="AU117" s="274"/>
      <c r="AV117" s="274"/>
      <c r="AW117" s="274"/>
      <c r="AX117" s="298"/>
      <c r="AY117" s="298"/>
      <c r="AZ117" s="298"/>
      <c r="BA117" s="274"/>
      <c r="BB117" s="274"/>
      <c r="BC117" s="274"/>
      <c r="BD117" s="13"/>
      <c r="BE117" s="261"/>
      <c r="BF117" s="261"/>
      <c r="BG117" s="261"/>
      <c r="BH117" s="261"/>
      <c r="BI117" s="261"/>
      <c r="BJ117" s="261"/>
      <c r="BK117" s="261"/>
      <c r="BL117" s="261"/>
      <c r="BM117" s="261"/>
      <c r="BN117" s="261"/>
      <c r="BO117" s="261"/>
      <c r="BP117" s="261"/>
      <c r="BQ117" s="29"/>
    </row>
    <row r="118" spans="1:69" ht="7.5" customHeight="1">
      <c r="A118" s="19"/>
      <c r="B118" s="332"/>
      <c r="C118" s="333"/>
      <c r="D118" s="333"/>
      <c r="E118" s="333"/>
      <c r="F118" s="333"/>
      <c r="G118" s="333"/>
      <c r="H118" s="333"/>
      <c r="I118" s="333"/>
      <c r="J118" s="333"/>
      <c r="K118" s="333"/>
      <c r="L118" s="333"/>
      <c r="M118" s="333"/>
      <c r="N118" s="333"/>
      <c r="O118" s="333"/>
      <c r="P118" s="333"/>
      <c r="Q118" s="331"/>
      <c r="R118" s="331"/>
      <c r="S118" s="331"/>
      <c r="T118" s="300"/>
      <c r="U118" s="300"/>
      <c r="V118" s="300"/>
      <c r="W118" s="300"/>
      <c r="X118" s="300"/>
      <c r="Y118" s="300"/>
      <c r="Z118" s="300"/>
      <c r="AA118" s="300"/>
      <c r="AB118" s="300"/>
      <c r="AC118" s="273">
        <v>11</v>
      </c>
      <c r="AD118" s="272"/>
      <c r="AE118" s="272"/>
      <c r="AF118" s="272"/>
      <c r="AG118" s="272"/>
      <c r="AH118" s="272"/>
      <c r="AI118" s="272"/>
      <c r="AJ118" s="272"/>
      <c r="AK118" s="272"/>
      <c r="AL118" s="272"/>
      <c r="AM118" s="272"/>
      <c r="AN118" s="272"/>
      <c r="AO118" s="272"/>
      <c r="AP118" s="272"/>
      <c r="AQ118" s="272"/>
      <c r="AR118" s="274"/>
      <c r="AS118" s="274"/>
      <c r="AT118" s="274"/>
      <c r="AU118" s="274"/>
      <c r="AV118" s="274"/>
      <c r="AW118" s="274"/>
      <c r="AX118" s="298">
        <f>IF(BL39&lt;30,AU118*3,IF(BL39&lt;126,AU118*2+AU118*(100-BL39)/100,AU118*(BL39-100)/100))</f>
        <v>0</v>
      </c>
      <c r="AY118" s="298"/>
      <c r="AZ118" s="298"/>
      <c r="BA118" s="274"/>
      <c r="BB118" s="274"/>
      <c r="BC118" s="274"/>
      <c r="BD118" s="13"/>
      <c r="BE118" s="261"/>
      <c r="BF118" s="261"/>
      <c r="BG118" s="261"/>
      <c r="BH118" s="261"/>
      <c r="BI118" s="261"/>
      <c r="BJ118" s="261"/>
      <c r="BK118" s="261"/>
      <c r="BL118" s="261"/>
      <c r="BM118" s="261"/>
      <c r="BN118" s="261"/>
      <c r="BO118" s="261"/>
      <c r="BP118" s="261"/>
      <c r="BQ118" s="29"/>
    </row>
    <row r="119" spans="1:69" ht="7.5" customHeight="1">
      <c r="A119" s="19"/>
      <c r="B119" s="332"/>
      <c r="C119" s="333"/>
      <c r="D119" s="333"/>
      <c r="E119" s="333"/>
      <c r="F119" s="333"/>
      <c r="G119" s="333"/>
      <c r="H119" s="333"/>
      <c r="I119" s="333"/>
      <c r="J119" s="333"/>
      <c r="K119" s="333"/>
      <c r="L119" s="333"/>
      <c r="M119" s="333"/>
      <c r="N119" s="333"/>
      <c r="O119" s="333"/>
      <c r="P119" s="333"/>
      <c r="Q119" s="331"/>
      <c r="R119" s="331"/>
      <c r="S119" s="331"/>
      <c r="T119" s="300"/>
      <c r="U119" s="300"/>
      <c r="V119" s="300"/>
      <c r="W119" s="300"/>
      <c r="X119" s="300"/>
      <c r="Y119" s="300"/>
      <c r="Z119" s="300"/>
      <c r="AA119" s="300"/>
      <c r="AB119" s="300"/>
      <c r="AC119" s="273"/>
      <c r="AD119" s="272"/>
      <c r="AE119" s="272"/>
      <c r="AF119" s="272"/>
      <c r="AG119" s="272"/>
      <c r="AH119" s="272"/>
      <c r="AI119" s="272"/>
      <c r="AJ119" s="272"/>
      <c r="AK119" s="272"/>
      <c r="AL119" s="272"/>
      <c r="AM119" s="272"/>
      <c r="AN119" s="272"/>
      <c r="AO119" s="272"/>
      <c r="AP119" s="272"/>
      <c r="AQ119" s="272"/>
      <c r="AR119" s="274"/>
      <c r="AS119" s="274"/>
      <c r="AT119" s="274"/>
      <c r="AU119" s="274"/>
      <c r="AV119" s="274"/>
      <c r="AW119" s="274"/>
      <c r="AX119" s="298"/>
      <c r="AY119" s="298"/>
      <c r="AZ119" s="298"/>
      <c r="BA119" s="274"/>
      <c r="BB119" s="274"/>
      <c r="BC119" s="274"/>
      <c r="BD119" s="13"/>
      <c r="BE119" s="261"/>
      <c r="BF119" s="261"/>
      <c r="BG119" s="261"/>
      <c r="BH119" s="261"/>
      <c r="BI119" s="261"/>
      <c r="BJ119" s="261"/>
      <c r="BK119" s="261"/>
      <c r="BL119" s="261"/>
      <c r="BM119" s="261"/>
      <c r="BN119" s="261"/>
      <c r="BO119" s="261"/>
      <c r="BP119" s="261"/>
      <c r="BQ119" s="29"/>
    </row>
    <row r="120" spans="1:69" ht="7.5" customHeight="1">
      <c r="A120" s="19"/>
      <c r="B120" s="332">
        <v>4</v>
      </c>
      <c r="C120" s="333"/>
      <c r="D120" s="333"/>
      <c r="E120" s="333"/>
      <c r="F120" s="333"/>
      <c r="G120" s="333"/>
      <c r="H120" s="333"/>
      <c r="I120" s="333"/>
      <c r="J120" s="333"/>
      <c r="K120" s="333"/>
      <c r="L120" s="333"/>
      <c r="M120" s="333"/>
      <c r="N120" s="333"/>
      <c r="O120" s="333"/>
      <c r="P120" s="333"/>
      <c r="Q120" s="331"/>
      <c r="R120" s="331"/>
      <c r="S120" s="331"/>
      <c r="T120" s="299">
        <f>IF(INDEX(Таблицы!AA398:AA462,Таблицы!Y449,1)="",0,INDEX(Таблицы!AA398:AA462,Таблицы!Y449,1))</f>
        <v>0</v>
      </c>
      <c r="U120" s="299"/>
      <c r="V120" s="299"/>
      <c r="W120" s="300">
        <f>IF(AK39&lt;30,T120*3,IF(AK39&lt;126,T120*2+T120*(100-AK39)/100,T120*(AK39-100)/100))</f>
        <v>0</v>
      </c>
      <c r="X120" s="300"/>
      <c r="Y120" s="300"/>
      <c r="Z120" s="299">
        <f>IF(INDEX(Таблицы!AB398:AB462,Таблицы!Y449,1)="",0,INDEX(Таблицы!AB398:AB462,Таблицы!Y449,1))*Q120</f>
        <v>0</v>
      </c>
      <c r="AA120" s="299"/>
      <c r="AB120" s="299"/>
      <c r="AC120" s="273">
        <v>12</v>
      </c>
      <c r="AD120" s="272"/>
      <c r="AE120" s="272"/>
      <c r="AF120" s="272"/>
      <c r="AG120" s="272"/>
      <c r="AH120" s="272"/>
      <c r="AI120" s="272"/>
      <c r="AJ120" s="272"/>
      <c r="AK120" s="272"/>
      <c r="AL120" s="272"/>
      <c r="AM120" s="272"/>
      <c r="AN120" s="272"/>
      <c r="AO120" s="272"/>
      <c r="AP120" s="272"/>
      <c r="AQ120" s="272"/>
      <c r="AR120" s="274"/>
      <c r="AS120" s="274"/>
      <c r="AT120" s="274"/>
      <c r="AU120" s="274"/>
      <c r="AV120" s="274"/>
      <c r="AW120" s="274"/>
      <c r="AX120" s="298">
        <f>IF(BL39&lt;30,AU120*3,IF(BL39&lt;126,AU120*2+AU120*(100-BL39)/100,AU120*(BL39-100)/100))</f>
        <v>0</v>
      </c>
      <c r="AY120" s="298"/>
      <c r="AZ120" s="298"/>
      <c r="BA120" s="274"/>
      <c r="BB120" s="274"/>
      <c r="BC120" s="274"/>
      <c r="BD120" s="13"/>
      <c r="BE120" s="261"/>
      <c r="BF120" s="261"/>
      <c r="BG120" s="261"/>
      <c r="BH120" s="261"/>
      <c r="BI120" s="261"/>
      <c r="BJ120" s="261"/>
      <c r="BK120" s="261"/>
      <c r="BL120" s="261"/>
      <c r="BM120" s="261"/>
      <c r="BN120" s="261"/>
      <c r="BO120" s="261"/>
      <c r="BP120" s="261"/>
      <c r="BQ120" s="29"/>
    </row>
    <row r="121" spans="1:69" ht="7.5" customHeight="1">
      <c r="A121" s="19"/>
      <c r="B121" s="332"/>
      <c r="C121" s="333"/>
      <c r="D121" s="333"/>
      <c r="E121" s="333"/>
      <c r="F121" s="333"/>
      <c r="G121" s="333"/>
      <c r="H121" s="333"/>
      <c r="I121" s="333"/>
      <c r="J121" s="333"/>
      <c r="K121" s="333"/>
      <c r="L121" s="333"/>
      <c r="M121" s="333"/>
      <c r="N121" s="333"/>
      <c r="O121" s="333"/>
      <c r="P121" s="333"/>
      <c r="Q121" s="331"/>
      <c r="R121" s="331"/>
      <c r="S121" s="331"/>
      <c r="T121" s="300"/>
      <c r="U121" s="300"/>
      <c r="V121" s="300"/>
      <c r="W121" s="300"/>
      <c r="X121" s="300"/>
      <c r="Y121" s="300"/>
      <c r="Z121" s="300"/>
      <c r="AA121" s="300"/>
      <c r="AB121" s="300"/>
      <c r="AC121" s="273"/>
      <c r="AD121" s="272"/>
      <c r="AE121" s="272"/>
      <c r="AF121" s="272"/>
      <c r="AG121" s="272"/>
      <c r="AH121" s="272"/>
      <c r="AI121" s="272"/>
      <c r="AJ121" s="272"/>
      <c r="AK121" s="272"/>
      <c r="AL121" s="272"/>
      <c r="AM121" s="272"/>
      <c r="AN121" s="272"/>
      <c r="AO121" s="272"/>
      <c r="AP121" s="272"/>
      <c r="AQ121" s="272"/>
      <c r="AR121" s="274"/>
      <c r="AS121" s="274"/>
      <c r="AT121" s="274"/>
      <c r="AU121" s="274"/>
      <c r="AV121" s="274"/>
      <c r="AW121" s="274"/>
      <c r="AX121" s="298"/>
      <c r="AY121" s="298"/>
      <c r="AZ121" s="298"/>
      <c r="BA121" s="274"/>
      <c r="BB121" s="274"/>
      <c r="BC121" s="274"/>
      <c r="BD121" s="13"/>
      <c r="BE121" s="261"/>
      <c r="BF121" s="261"/>
      <c r="BG121" s="261"/>
      <c r="BH121" s="261"/>
      <c r="BI121" s="261"/>
      <c r="BJ121" s="261"/>
      <c r="BK121" s="261"/>
      <c r="BL121" s="261"/>
      <c r="BM121" s="261"/>
      <c r="BN121" s="261"/>
      <c r="BO121" s="261"/>
      <c r="BP121" s="261"/>
      <c r="BQ121" s="29"/>
    </row>
    <row r="122" spans="1:69" ht="7.5" customHeight="1">
      <c r="A122" s="19"/>
      <c r="B122" s="332"/>
      <c r="C122" s="333"/>
      <c r="D122" s="333"/>
      <c r="E122" s="333"/>
      <c r="F122" s="333"/>
      <c r="G122" s="333"/>
      <c r="H122" s="333"/>
      <c r="I122" s="333"/>
      <c r="J122" s="333"/>
      <c r="K122" s="333"/>
      <c r="L122" s="333"/>
      <c r="M122" s="333"/>
      <c r="N122" s="333"/>
      <c r="O122" s="333"/>
      <c r="P122" s="333"/>
      <c r="Q122" s="331"/>
      <c r="R122" s="331"/>
      <c r="S122" s="331"/>
      <c r="T122" s="300"/>
      <c r="U122" s="300"/>
      <c r="V122" s="300"/>
      <c r="W122" s="300"/>
      <c r="X122" s="300"/>
      <c r="Y122" s="300"/>
      <c r="Z122" s="300"/>
      <c r="AA122" s="300"/>
      <c r="AB122" s="300"/>
      <c r="AC122" s="273">
        <v>13</v>
      </c>
      <c r="AD122" s="272"/>
      <c r="AE122" s="272"/>
      <c r="AF122" s="272"/>
      <c r="AG122" s="272"/>
      <c r="AH122" s="272"/>
      <c r="AI122" s="272"/>
      <c r="AJ122" s="272"/>
      <c r="AK122" s="272"/>
      <c r="AL122" s="272"/>
      <c r="AM122" s="272"/>
      <c r="AN122" s="272"/>
      <c r="AO122" s="272"/>
      <c r="AP122" s="272"/>
      <c r="AQ122" s="272"/>
      <c r="AR122" s="274"/>
      <c r="AS122" s="274"/>
      <c r="AT122" s="274"/>
      <c r="AU122" s="274"/>
      <c r="AV122" s="274"/>
      <c r="AW122" s="274"/>
      <c r="AX122" s="298">
        <f>IF(BL39&lt;30,AU122*3,IF(BL39&lt;126,AU122*2+AU122*(100-BL39)/100,AU122*(BL39-100)/100))</f>
        <v>0</v>
      </c>
      <c r="AY122" s="298"/>
      <c r="AZ122" s="298"/>
      <c r="BA122" s="274"/>
      <c r="BB122" s="274"/>
      <c r="BC122" s="274"/>
      <c r="BD122" s="13"/>
      <c r="BE122" s="261"/>
      <c r="BF122" s="261"/>
      <c r="BG122" s="261"/>
      <c r="BH122" s="261"/>
      <c r="BI122" s="261"/>
      <c r="BJ122" s="261"/>
      <c r="BK122" s="261"/>
      <c r="BL122" s="261"/>
      <c r="BM122" s="261"/>
      <c r="BN122" s="261"/>
      <c r="BO122" s="261"/>
      <c r="BP122" s="261"/>
      <c r="BQ122" s="29"/>
    </row>
    <row r="123" spans="1:69" ht="7.5" customHeight="1">
      <c r="A123" s="19"/>
      <c r="B123" s="332">
        <v>5</v>
      </c>
      <c r="C123" s="333"/>
      <c r="D123" s="333"/>
      <c r="E123" s="333"/>
      <c r="F123" s="333"/>
      <c r="G123" s="333"/>
      <c r="H123" s="333"/>
      <c r="I123" s="333"/>
      <c r="J123" s="333"/>
      <c r="K123" s="333"/>
      <c r="L123" s="333"/>
      <c r="M123" s="333"/>
      <c r="N123" s="333"/>
      <c r="O123" s="333"/>
      <c r="P123" s="333"/>
      <c r="Q123" s="331"/>
      <c r="R123" s="331"/>
      <c r="S123" s="331"/>
      <c r="T123" s="299">
        <f>IF(INDEX(Таблицы!AA398:AA462,Таблицы!Y450,1)="",0,INDEX(Таблицы!AA398:AA462,Таблицы!Y450,1))</f>
        <v>0</v>
      </c>
      <c r="U123" s="299"/>
      <c r="V123" s="299"/>
      <c r="W123" s="300">
        <f>IF(AK39&lt;30,T123*3,IF(AK39&lt;126,T123*2+T123*(100-AK39)/100,T123*(AK39-100)/100))</f>
        <v>0</v>
      </c>
      <c r="X123" s="300"/>
      <c r="Y123" s="300"/>
      <c r="Z123" s="299">
        <f>IF(INDEX(Таблицы!AB398:AB462,Таблицы!Y450,1)="",0,INDEX(Таблицы!AB398:AB462,Таблицы!Y450,1))*Q123</f>
        <v>0</v>
      </c>
      <c r="AA123" s="299"/>
      <c r="AB123" s="299"/>
      <c r="AC123" s="273"/>
      <c r="AD123" s="272"/>
      <c r="AE123" s="272"/>
      <c r="AF123" s="272"/>
      <c r="AG123" s="272"/>
      <c r="AH123" s="272"/>
      <c r="AI123" s="272"/>
      <c r="AJ123" s="272"/>
      <c r="AK123" s="272"/>
      <c r="AL123" s="272"/>
      <c r="AM123" s="272"/>
      <c r="AN123" s="272"/>
      <c r="AO123" s="272"/>
      <c r="AP123" s="272"/>
      <c r="AQ123" s="272"/>
      <c r="AR123" s="274"/>
      <c r="AS123" s="274"/>
      <c r="AT123" s="274"/>
      <c r="AU123" s="274"/>
      <c r="AV123" s="274"/>
      <c r="AW123" s="274"/>
      <c r="AX123" s="298"/>
      <c r="AY123" s="298"/>
      <c r="AZ123" s="298"/>
      <c r="BA123" s="274"/>
      <c r="BB123" s="274"/>
      <c r="BC123" s="274"/>
      <c r="BD123" s="13"/>
      <c r="BE123" s="261"/>
      <c r="BF123" s="261"/>
      <c r="BG123" s="261"/>
      <c r="BH123" s="261"/>
      <c r="BI123" s="261"/>
      <c r="BJ123" s="261"/>
      <c r="BK123" s="261"/>
      <c r="BL123" s="261"/>
      <c r="BM123" s="261"/>
      <c r="BN123" s="261"/>
      <c r="BO123" s="261"/>
      <c r="BP123" s="261"/>
      <c r="BQ123" s="29"/>
    </row>
    <row r="124" spans="1:69" ht="7.5" customHeight="1">
      <c r="A124" s="19"/>
      <c r="B124" s="332"/>
      <c r="C124" s="333"/>
      <c r="D124" s="333"/>
      <c r="E124" s="333"/>
      <c r="F124" s="333"/>
      <c r="G124" s="333"/>
      <c r="H124" s="333"/>
      <c r="I124" s="333"/>
      <c r="J124" s="333"/>
      <c r="K124" s="333"/>
      <c r="L124" s="333"/>
      <c r="M124" s="333"/>
      <c r="N124" s="333"/>
      <c r="O124" s="333"/>
      <c r="P124" s="333"/>
      <c r="Q124" s="331"/>
      <c r="R124" s="331"/>
      <c r="S124" s="331"/>
      <c r="T124" s="300"/>
      <c r="U124" s="300"/>
      <c r="V124" s="300"/>
      <c r="W124" s="300"/>
      <c r="X124" s="300"/>
      <c r="Y124" s="300"/>
      <c r="Z124" s="300"/>
      <c r="AA124" s="300"/>
      <c r="AB124" s="300"/>
      <c r="AC124" s="273">
        <v>14</v>
      </c>
      <c r="AD124" s="272"/>
      <c r="AE124" s="272"/>
      <c r="AF124" s="272"/>
      <c r="AG124" s="272"/>
      <c r="AH124" s="272"/>
      <c r="AI124" s="272"/>
      <c r="AJ124" s="272"/>
      <c r="AK124" s="272"/>
      <c r="AL124" s="272"/>
      <c r="AM124" s="272"/>
      <c r="AN124" s="272"/>
      <c r="AO124" s="272"/>
      <c r="AP124" s="272"/>
      <c r="AQ124" s="272"/>
      <c r="AR124" s="274"/>
      <c r="AS124" s="274"/>
      <c r="AT124" s="274"/>
      <c r="AU124" s="274"/>
      <c r="AV124" s="274"/>
      <c r="AW124" s="274"/>
      <c r="AX124" s="298">
        <f>IF(BL39&lt;30,AU124*3,IF(BL39&lt;126,AU124*2+AU124*(100-BL39)/100,AU124*(BL39-100)/100))</f>
        <v>0</v>
      </c>
      <c r="AY124" s="298"/>
      <c r="AZ124" s="298"/>
      <c r="BA124" s="274"/>
      <c r="BB124" s="274"/>
      <c r="BC124" s="274"/>
      <c r="BD124" s="13"/>
      <c r="BE124" s="261"/>
      <c r="BF124" s="261"/>
      <c r="BG124" s="261"/>
      <c r="BH124" s="261"/>
      <c r="BI124" s="261"/>
      <c r="BJ124" s="261"/>
      <c r="BK124" s="261"/>
      <c r="BL124" s="261"/>
      <c r="BM124" s="261"/>
      <c r="BN124" s="261"/>
      <c r="BO124" s="261"/>
      <c r="BP124" s="261"/>
      <c r="BQ124" s="29"/>
    </row>
    <row r="125" spans="1:69" ht="7.5" customHeight="1">
      <c r="A125" s="19"/>
      <c r="B125" s="332"/>
      <c r="C125" s="333"/>
      <c r="D125" s="333"/>
      <c r="E125" s="333"/>
      <c r="F125" s="333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1"/>
      <c r="R125" s="331"/>
      <c r="S125" s="331"/>
      <c r="T125" s="300"/>
      <c r="U125" s="300"/>
      <c r="V125" s="300"/>
      <c r="W125" s="300"/>
      <c r="X125" s="300"/>
      <c r="Y125" s="300"/>
      <c r="Z125" s="300"/>
      <c r="AA125" s="300"/>
      <c r="AB125" s="300"/>
      <c r="AC125" s="273"/>
      <c r="AD125" s="272"/>
      <c r="AE125" s="272"/>
      <c r="AF125" s="272"/>
      <c r="AG125" s="272"/>
      <c r="AH125" s="272"/>
      <c r="AI125" s="272"/>
      <c r="AJ125" s="272"/>
      <c r="AK125" s="272"/>
      <c r="AL125" s="272"/>
      <c r="AM125" s="272"/>
      <c r="AN125" s="272"/>
      <c r="AO125" s="272"/>
      <c r="AP125" s="272"/>
      <c r="AQ125" s="272"/>
      <c r="AR125" s="274"/>
      <c r="AS125" s="274"/>
      <c r="AT125" s="274"/>
      <c r="AU125" s="274"/>
      <c r="AV125" s="274"/>
      <c r="AW125" s="274"/>
      <c r="AX125" s="298"/>
      <c r="AY125" s="298"/>
      <c r="AZ125" s="298"/>
      <c r="BA125" s="274"/>
      <c r="BB125" s="274"/>
      <c r="BC125" s="274"/>
      <c r="BD125" s="13"/>
      <c r="BE125" s="261"/>
      <c r="BF125" s="261"/>
      <c r="BG125" s="261"/>
      <c r="BH125" s="261"/>
      <c r="BI125" s="261"/>
      <c r="BJ125" s="261"/>
      <c r="BK125" s="261"/>
      <c r="BL125" s="261"/>
      <c r="BM125" s="261"/>
      <c r="BN125" s="261"/>
      <c r="BO125" s="261"/>
      <c r="BP125" s="261"/>
      <c r="BQ125" s="29"/>
    </row>
    <row r="126" spans="1:69" ht="7.5" customHeight="1">
      <c r="A126" s="19"/>
      <c r="B126" s="332">
        <v>6</v>
      </c>
      <c r="C126" s="333"/>
      <c r="D126" s="333"/>
      <c r="E126" s="333"/>
      <c r="F126" s="333"/>
      <c r="G126" s="333"/>
      <c r="H126" s="333"/>
      <c r="I126" s="333"/>
      <c r="J126" s="333"/>
      <c r="K126" s="333"/>
      <c r="L126" s="333"/>
      <c r="M126" s="333"/>
      <c r="N126" s="333"/>
      <c r="O126" s="333"/>
      <c r="P126" s="333"/>
      <c r="Q126" s="331"/>
      <c r="R126" s="331"/>
      <c r="S126" s="331"/>
      <c r="T126" s="299">
        <f>IF(INDEX(Таблицы!AA398:AA462,Таблицы!Y451,1)="",0,INDEX(Таблицы!AA398:AA462,Таблицы!Y451,1))</f>
        <v>0</v>
      </c>
      <c r="U126" s="299"/>
      <c r="V126" s="299"/>
      <c r="W126" s="300">
        <f>IF(AK39&lt;30,T126*3,IF(AK39&lt;126,T126*2+T126*(100-AK39)/100,T126*(AK39-100)/100))</f>
        <v>0</v>
      </c>
      <c r="X126" s="300"/>
      <c r="Y126" s="300"/>
      <c r="Z126" s="299">
        <f>IF(INDEX(Таблицы!AB398:AB462,Таблицы!Y451,1)="",0,INDEX(Таблицы!AB398:AB462,Таблицы!Y451,1))*Q126</f>
        <v>0</v>
      </c>
      <c r="AA126" s="299"/>
      <c r="AB126" s="299"/>
      <c r="AC126" s="273">
        <v>15</v>
      </c>
      <c r="AD126" s="272"/>
      <c r="AE126" s="272"/>
      <c r="AF126" s="272"/>
      <c r="AG126" s="272"/>
      <c r="AH126" s="272"/>
      <c r="AI126" s="272"/>
      <c r="AJ126" s="272"/>
      <c r="AK126" s="272"/>
      <c r="AL126" s="272"/>
      <c r="AM126" s="272"/>
      <c r="AN126" s="272"/>
      <c r="AO126" s="272"/>
      <c r="AP126" s="272"/>
      <c r="AQ126" s="272"/>
      <c r="AR126" s="274"/>
      <c r="AS126" s="274"/>
      <c r="AT126" s="274"/>
      <c r="AU126" s="274"/>
      <c r="AV126" s="274"/>
      <c r="AW126" s="274"/>
      <c r="AX126" s="298">
        <f>IF(BL39&lt;30,AU126*3,IF(BL39&lt;126,AU126*2+AU126*(100-BL39)/100,AU126*(BL39-100)/100))</f>
        <v>0</v>
      </c>
      <c r="AY126" s="298"/>
      <c r="AZ126" s="298"/>
      <c r="BA126" s="274"/>
      <c r="BB126" s="274"/>
      <c r="BC126" s="274"/>
      <c r="BD126" s="13"/>
      <c r="BE126" s="261"/>
      <c r="BF126" s="261"/>
      <c r="BG126" s="261"/>
      <c r="BH126" s="261"/>
      <c r="BI126" s="261"/>
      <c r="BJ126" s="261"/>
      <c r="BK126" s="261"/>
      <c r="BL126" s="261"/>
      <c r="BM126" s="261"/>
      <c r="BN126" s="261"/>
      <c r="BO126" s="261"/>
      <c r="BP126" s="261"/>
      <c r="BQ126" s="29"/>
    </row>
    <row r="127" spans="1:69" ht="7.5" customHeight="1">
      <c r="A127" s="19"/>
      <c r="B127" s="332"/>
      <c r="C127" s="333"/>
      <c r="D127" s="333"/>
      <c r="E127" s="333"/>
      <c r="F127" s="333"/>
      <c r="G127" s="333"/>
      <c r="H127" s="333"/>
      <c r="I127" s="333"/>
      <c r="J127" s="333"/>
      <c r="K127" s="333"/>
      <c r="L127" s="333"/>
      <c r="M127" s="333"/>
      <c r="N127" s="333"/>
      <c r="O127" s="333"/>
      <c r="P127" s="333"/>
      <c r="Q127" s="331"/>
      <c r="R127" s="331"/>
      <c r="S127" s="331"/>
      <c r="T127" s="300"/>
      <c r="U127" s="300"/>
      <c r="V127" s="300"/>
      <c r="W127" s="300"/>
      <c r="X127" s="300"/>
      <c r="Y127" s="300"/>
      <c r="Z127" s="300"/>
      <c r="AA127" s="300"/>
      <c r="AB127" s="300"/>
      <c r="AC127" s="273"/>
      <c r="AD127" s="272"/>
      <c r="AE127" s="272"/>
      <c r="AF127" s="272"/>
      <c r="AG127" s="272"/>
      <c r="AH127" s="272"/>
      <c r="AI127" s="272"/>
      <c r="AJ127" s="272"/>
      <c r="AK127" s="272"/>
      <c r="AL127" s="272"/>
      <c r="AM127" s="272"/>
      <c r="AN127" s="272"/>
      <c r="AO127" s="272"/>
      <c r="AP127" s="272"/>
      <c r="AQ127" s="272"/>
      <c r="AR127" s="274"/>
      <c r="AS127" s="274"/>
      <c r="AT127" s="274"/>
      <c r="AU127" s="274"/>
      <c r="AV127" s="274"/>
      <c r="AW127" s="274"/>
      <c r="AX127" s="298"/>
      <c r="AY127" s="298"/>
      <c r="AZ127" s="298"/>
      <c r="BA127" s="274"/>
      <c r="BB127" s="274"/>
      <c r="BC127" s="274"/>
      <c r="BD127" s="13"/>
      <c r="BE127" s="261"/>
      <c r="BF127" s="261"/>
      <c r="BG127" s="261"/>
      <c r="BH127" s="261"/>
      <c r="BI127" s="261"/>
      <c r="BJ127" s="261"/>
      <c r="BK127" s="261"/>
      <c r="BL127" s="261"/>
      <c r="BM127" s="261"/>
      <c r="BN127" s="261"/>
      <c r="BO127" s="261"/>
      <c r="BP127" s="261"/>
      <c r="BQ127" s="29"/>
    </row>
    <row r="128" spans="1:69" ht="7.5" customHeight="1">
      <c r="A128" s="19"/>
      <c r="B128" s="332"/>
      <c r="C128" s="333"/>
      <c r="D128" s="333"/>
      <c r="E128" s="333"/>
      <c r="F128" s="333"/>
      <c r="G128" s="333"/>
      <c r="H128" s="333"/>
      <c r="I128" s="333"/>
      <c r="J128" s="333"/>
      <c r="K128" s="333"/>
      <c r="L128" s="333"/>
      <c r="M128" s="333"/>
      <c r="N128" s="333"/>
      <c r="O128" s="333"/>
      <c r="P128" s="333"/>
      <c r="Q128" s="331"/>
      <c r="R128" s="331"/>
      <c r="S128" s="331"/>
      <c r="T128" s="300"/>
      <c r="U128" s="300"/>
      <c r="V128" s="300"/>
      <c r="W128" s="300"/>
      <c r="X128" s="300"/>
      <c r="Y128" s="300"/>
      <c r="Z128" s="300"/>
      <c r="AA128" s="300"/>
      <c r="AB128" s="300"/>
      <c r="AC128" s="273">
        <v>16</v>
      </c>
      <c r="AD128" s="272"/>
      <c r="AE128" s="272"/>
      <c r="AF128" s="272"/>
      <c r="AG128" s="272"/>
      <c r="AH128" s="272"/>
      <c r="AI128" s="272"/>
      <c r="AJ128" s="272"/>
      <c r="AK128" s="272"/>
      <c r="AL128" s="272"/>
      <c r="AM128" s="272"/>
      <c r="AN128" s="272"/>
      <c r="AO128" s="272"/>
      <c r="AP128" s="272"/>
      <c r="AQ128" s="272"/>
      <c r="AR128" s="274"/>
      <c r="AS128" s="274"/>
      <c r="AT128" s="274"/>
      <c r="AU128" s="274"/>
      <c r="AV128" s="274"/>
      <c r="AW128" s="274"/>
      <c r="AX128" s="298">
        <f>IF(BL39&lt;30,AU128*3,IF(BL39&lt;126,AU128*2+AU128*(100-BL39)/100,AU128*(BL39-100)/100))</f>
        <v>0</v>
      </c>
      <c r="AY128" s="298"/>
      <c r="AZ128" s="298"/>
      <c r="BA128" s="274"/>
      <c r="BB128" s="274"/>
      <c r="BC128" s="274"/>
      <c r="BD128" s="13"/>
      <c r="BE128" s="261"/>
      <c r="BF128" s="261"/>
      <c r="BG128" s="261"/>
      <c r="BH128" s="261"/>
      <c r="BI128" s="261"/>
      <c r="BJ128" s="261"/>
      <c r="BK128" s="261"/>
      <c r="BL128" s="261"/>
      <c r="BM128" s="261"/>
      <c r="BN128" s="261"/>
      <c r="BO128" s="261"/>
      <c r="BP128" s="261"/>
      <c r="BQ128" s="29"/>
    </row>
    <row r="129" spans="1:69" ht="7.5" customHeight="1">
      <c r="A129" s="19"/>
      <c r="B129" s="332">
        <v>7</v>
      </c>
      <c r="C129" s="333"/>
      <c r="D129" s="333"/>
      <c r="E129" s="333"/>
      <c r="F129" s="333"/>
      <c r="G129" s="333"/>
      <c r="H129" s="333"/>
      <c r="I129" s="333"/>
      <c r="J129" s="333"/>
      <c r="K129" s="333"/>
      <c r="L129" s="333"/>
      <c r="M129" s="333"/>
      <c r="N129" s="333"/>
      <c r="O129" s="333"/>
      <c r="P129" s="333"/>
      <c r="Q129" s="331"/>
      <c r="R129" s="331"/>
      <c r="S129" s="331"/>
      <c r="T129" s="299">
        <f>IF(INDEX(Таблицы!AA398:AA462,Таблицы!Y452,1)="",0,INDEX(Таблицы!AA398:AA462,Таблицы!Y452,1))</f>
        <v>0</v>
      </c>
      <c r="U129" s="299"/>
      <c r="V129" s="299"/>
      <c r="W129" s="300">
        <f>IF(AK39&lt;30,T129*3,IF(AK39&lt;126,T129*2+T129*(100-AK39)/100,T129*(AK39-100)/100))</f>
        <v>0</v>
      </c>
      <c r="X129" s="300"/>
      <c r="Y129" s="300"/>
      <c r="Z129" s="299">
        <f>IF(INDEX(Таблицы!AB398:AB462,Таблицы!Y452,1)="",0,INDEX(Таблицы!AB398:AB462,Таблицы!Y452,1))*Q129</f>
        <v>0</v>
      </c>
      <c r="AA129" s="299"/>
      <c r="AB129" s="299"/>
      <c r="AC129" s="273"/>
      <c r="AD129" s="272"/>
      <c r="AE129" s="272"/>
      <c r="AF129" s="272"/>
      <c r="AG129" s="272"/>
      <c r="AH129" s="272"/>
      <c r="AI129" s="272"/>
      <c r="AJ129" s="272"/>
      <c r="AK129" s="272"/>
      <c r="AL129" s="272"/>
      <c r="AM129" s="272"/>
      <c r="AN129" s="272"/>
      <c r="AO129" s="272"/>
      <c r="AP129" s="272"/>
      <c r="AQ129" s="272"/>
      <c r="AR129" s="274"/>
      <c r="AS129" s="274"/>
      <c r="AT129" s="274"/>
      <c r="AU129" s="274"/>
      <c r="AV129" s="274"/>
      <c r="AW129" s="274"/>
      <c r="AX129" s="298"/>
      <c r="AY129" s="298"/>
      <c r="AZ129" s="298"/>
      <c r="BA129" s="274"/>
      <c r="BB129" s="274"/>
      <c r="BC129" s="274"/>
      <c r="BD129" s="13"/>
      <c r="BE129" s="261"/>
      <c r="BF129" s="261"/>
      <c r="BG129" s="261"/>
      <c r="BH129" s="261"/>
      <c r="BI129" s="261"/>
      <c r="BJ129" s="261"/>
      <c r="BK129" s="261"/>
      <c r="BL129" s="261"/>
      <c r="BM129" s="261"/>
      <c r="BN129" s="261"/>
      <c r="BO129" s="261"/>
      <c r="BP129" s="261"/>
      <c r="BQ129" s="29"/>
    </row>
    <row r="130" spans="1:69" ht="7.5" customHeight="1">
      <c r="A130" s="19"/>
      <c r="B130" s="332"/>
      <c r="C130" s="333"/>
      <c r="D130" s="333"/>
      <c r="E130" s="333"/>
      <c r="F130" s="333"/>
      <c r="G130" s="333"/>
      <c r="H130" s="333"/>
      <c r="I130" s="333"/>
      <c r="J130" s="333"/>
      <c r="K130" s="333"/>
      <c r="L130" s="333"/>
      <c r="M130" s="333"/>
      <c r="N130" s="333"/>
      <c r="O130" s="333"/>
      <c r="P130" s="333"/>
      <c r="Q130" s="331"/>
      <c r="R130" s="331"/>
      <c r="S130" s="331"/>
      <c r="T130" s="300"/>
      <c r="U130" s="300"/>
      <c r="V130" s="300"/>
      <c r="W130" s="300"/>
      <c r="X130" s="300"/>
      <c r="Y130" s="300"/>
      <c r="Z130" s="300"/>
      <c r="AA130" s="300"/>
      <c r="AB130" s="300"/>
      <c r="AC130" s="275" t="s">
        <v>230</v>
      </c>
      <c r="AD130" s="275"/>
      <c r="AE130" s="275"/>
      <c r="AF130" s="275"/>
      <c r="AG130" s="275"/>
      <c r="AH130" s="275"/>
      <c r="AI130" s="275"/>
      <c r="AJ130" s="275"/>
      <c r="AK130" s="275"/>
      <c r="AL130" s="275"/>
      <c r="AM130" s="275"/>
      <c r="AN130" s="275"/>
      <c r="AO130" s="275"/>
      <c r="AP130" s="275"/>
      <c r="AQ130" s="275"/>
      <c r="AR130" s="275"/>
      <c r="AS130" s="275"/>
      <c r="AT130" s="276"/>
      <c r="AU130" s="279">
        <f>SUM(T111:V131)+SUM(AU111:AW129)</f>
        <v>0</v>
      </c>
      <c r="AV130" s="279"/>
      <c r="AW130" s="279"/>
      <c r="AX130" s="279">
        <f>SUM(W111:Y131)+SUM(AX111:AZ129)</f>
        <v>0</v>
      </c>
      <c r="AY130" s="279"/>
      <c r="AZ130" s="279"/>
      <c r="BA130" s="279">
        <f>SUM(Z111:AB131)+SUM(BA111:BC129)</f>
        <v>0</v>
      </c>
      <c r="BB130" s="279"/>
      <c r="BC130" s="279"/>
      <c r="BD130" s="13"/>
      <c r="BE130" s="261"/>
      <c r="BF130" s="261"/>
      <c r="BG130" s="261"/>
      <c r="BH130" s="261"/>
      <c r="BI130" s="261"/>
      <c r="BJ130" s="261"/>
      <c r="BK130" s="261"/>
      <c r="BL130" s="261"/>
      <c r="BM130" s="261"/>
      <c r="BN130" s="261"/>
      <c r="BO130" s="261"/>
      <c r="BP130" s="261"/>
      <c r="BQ130" s="29"/>
    </row>
    <row r="131" spans="1:69" ht="7.5" customHeight="1">
      <c r="A131" s="19"/>
      <c r="B131" s="332"/>
      <c r="C131" s="333"/>
      <c r="D131" s="333"/>
      <c r="E131" s="333"/>
      <c r="F131" s="333"/>
      <c r="G131" s="333"/>
      <c r="H131" s="333"/>
      <c r="I131" s="333"/>
      <c r="J131" s="333"/>
      <c r="K131" s="333"/>
      <c r="L131" s="333"/>
      <c r="M131" s="333"/>
      <c r="N131" s="333"/>
      <c r="O131" s="333"/>
      <c r="P131" s="333"/>
      <c r="Q131" s="331"/>
      <c r="R131" s="331"/>
      <c r="S131" s="331"/>
      <c r="T131" s="300"/>
      <c r="U131" s="300"/>
      <c r="V131" s="300"/>
      <c r="W131" s="300"/>
      <c r="X131" s="300"/>
      <c r="Y131" s="300"/>
      <c r="Z131" s="300"/>
      <c r="AA131" s="300"/>
      <c r="AB131" s="300"/>
      <c r="AC131" s="277"/>
      <c r="AD131" s="277"/>
      <c r="AE131" s="277"/>
      <c r="AF131" s="277"/>
      <c r="AG131" s="277"/>
      <c r="AH131" s="277"/>
      <c r="AI131" s="277"/>
      <c r="AJ131" s="277"/>
      <c r="AK131" s="277"/>
      <c r="AL131" s="277"/>
      <c r="AM131" s="277"/>
      <c r="AN131" s="277"/>
      <c r="AO131" s="277"/>
      <c r="AP131" s="277"/>
      <c r="AQ131" s="277"/>
      <c r="AR131" s="277"/>
      <c r="AS131" s="277"/>
      <c r="AT131" s="278"/>
      <c r="AU131" s="279"/>
      <c r="AV131" s="279"/>
      <c r="AW131" s="279"/>
      <c r="AX131" s="279"/>
      <c r="AY131" s="279"/>
      <c r="AZ131" s="279"/>
      <c r="BA131" s="279"/>
      <c r="BB131" s="279"/>
      <c r="BC131" s="279"/>
      <c r="BD131" s="13"/>
      <c r="BE131" s="261"/>
      <c r="BF131" s="261"/>
      <c r="BG131" s="261"/>
      <c r="BH131" s="261"/>
      <c r="BI131" s="261"/>
      <c r="BJ131" s="261"/>
      <c r="BK131" s="261"/>
      <c r="BL131" s="261"/>
      <c r="BM131" s="261"/>
      <c r="BN131" s="261"/>
      <c r="BO131" s="261"/>
      <c r="BP131" s="261"/>
      <c r="BQ131" s="29"/>
    </row>
    <row r="132" spans="1:69" ht="7.5" customHeight="1" thickBot="1">
      <c r="A132" s="32"/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0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3"/>
    </row>
  </sheetData>
  <sheetProtection password="CF7A" sheet="1" objects="1" scenarios="1"/>
  <mergeCells count="760">
    <mergeCell ref="BE110:BN111"/>
    <mergeCell ref="BO110:BP111"/>
    <mergeCell ref="BE106:BN107"/>
    <mergeCell ref="BO106:BP107"/>
    <mergeCell ref="BE108:BN109"/>
    <mergeCell ref="BO108:BP109"/>
    <mergeCell ref="BE102:BN103"/>
    <mergeCell ref="BO102:BP103"/>
    <mergeCell ref="BE104:BN105"/>
    <mergeCell ref="BO104:BP105"/>
    <mergeCell ref="V72:Y73"/>
    <mergeCell ref="Z72:Z73"/>
    <mergeCell ref="AD70:BC71"/>
    <mergeCell ref="B70:AA71"/>
    <mergeCell ref="AV72:AW74"/>
    <mergeCell ref="B72:E74"/>
    <mergeCell ref="T72:U74"/>
    <mergeCell ref="F72:Q74"/>
    <mergeCell ref="AD72:AG74"/>
    <mergeCell ref="AT72:AU74"/>
    <mergeCell ref="AA2:AE3"/>
    <mergeCell ref="AF2:AR3"/>
    <mergeCell ref="AH47:AR49"/>
    <mergeCell ref="AO77:AU78"/>
    <mergeCell ref="AD75:AD76"/>
    <mergeCell ref="AE75:AG76"/>
    <mergeCell ref="AH75:AI76"/>
    <mergeCell ref="AJ75:AQ76"/>
    <mergeCell ref="AR75:AS76"/>
    <mergeCell ref="AT75:AW76"/>
    <mergeCell ref="BO93:BO94"/>
    <mergeCell ref="BP93:BP94"/>
    <mergeCell ref="R72:S74"/>
    <mergeCell ref="AX72:BA73"/>
    <mergeCell ref="BB72:BB73"/>
    <mergeCell ref="BM85:BN86"/>
    <mergeCell ref="BO85:BO86"/>
    <mergeCell ref="BP85:BP86"/>
    <mergeCell ref="BM89:BN90"/>
    <mergeCell ref="BO89:BO90"/>
    <mergeCell ref="BH89:BH90"/>
    <mergeCell ref="BI89:BJ90"/>
    <mergeCell ref="BK89:BL90"/>
    <mergeCell ref="BK87:BK88"/>
    <mergeCell ref="BH87:BH88"/>
    <mergeCell ref="BL87:BM88"/>
    <mergeCell ref="AV79:AW81"/>
    <mergeCell ref="AF82:AJ83"/>
    <mergeCell ref="AK82:AM83"/>
    <mergeCell ref="AN82:AW83"/>
    <mergeCell ref="AD79:AF81"/>
    <mergeCell ref="AG79:AO81"/>
    <mergeCell ref="AT79:AU81"/>
    <mergeCell ref="AP79:AQ81"/>
    <mergeCell ref="AR79:AS81"/>
    <mergeCell ref="AD82:AE83"/>
    <mergeCell ref="BI75:BJ76"/>
    <mergeCell ref="BK75:BL76"/>
    <mergeCell ref="BM75:BN76"/>
    <mergeCell ref="BP89:BP90"/>
    <mergeCell ref="BO87:BP88"/>
    <mergeCell ref="BN87:BN88"/>
    <mergeCell ref="BI87:BJ88"/>
    <mergeCell ref="BL83:BM84"/>
    <mergeCell ref="BL81:BP82"/>
    <mergeCell ref="BO75:BP76"/>
    <mergeCell ref="BB60:BO61"/>
    <mergeCell ref="BB62:BO63"/>
    <mergeCell ref="BB64:BO65"/>
    <mergeCell ref="BB66:BO67"/>
    <mergeCell ref="BB47:BO49"/>
    <mergeCell ref="BB50:BO51"/>
    <mergeCell ref="BB52:BO53"/>
    <mergeCell ref="BB54:BO55"/>
    <mergeCell ref="BE128:BP129"/>
    <mergeCell ref="BE130:BP131"/>
    <mergeCell ref="BE120:BP121"/>
    <mergeCell ref="BE122:BP123"/>
    <mergeCell ref="BE124:BP125"/>
    <mergeCell ref="BE126:BP127"/>
    <mergeCell ref="BE114:BP115"/>
    <mergeCell ref="BE116:BP117"/>
    <mergeCell ref="AC128:AC129"/>
    <mergeCell ref="AD128:AQ129"/>
    <mergeCell ref="AR128:AT129"/>
    <mergeCell ref="BA126:BC127"/>
    <mergeCell ref="BA120:BC121"/>
    <mergeCell ref="AX122:AZ123"/>
    <mergeCell ref="AU128:AW129"/>
    <mergeCell ref="BA122:BC123"/>
    <mergeCell ref="AC130:AT131"/>
    <mergeCell ref="AU130:AW131"/>
    <mergeCell ref="AX130:AZ131"/>
    <mergeCell ref="BA130:BC131"/>
    <mergeCell ref="BI70:BP72"/>
    <mergeCell ref="BE73:BF74"/>
    <mergeCell ref="BG73:BH74"/>
    <mergeCell ref="BI73:BJ74"/>
    <mergeCell ref="BK73:BL74"/>
    <mergeCell ref="BM73:BN74"/>
    <mergeCell ref="BO73:BP74"/>
    <mergeCell ref="BE70:BH72"/>
    <mergeCell ref="BO91:BP92"/>
    <mergeCell ref="BH93:BH94"/>
    <mergeCell ref="BI93:BJ94"/>
    <mergeCell ref="BK93:BL94"/>
    <mergeCell ref="BL91:BM92"/>
    <mergeCell ref="BN91:BN92"/>
    <mergeCell ref="BM93:BN94"/>
    <mergeCell ref="BK91:BK92"/>
    <mergeCell ref="BI91:BJ92"/>
    <mergeCell ref="BH91:BH92"/>
    <mergeCell ref="BE75:BF76"/>
    <mergeCell ref="BG75:BH76"/>
    <mergeCell ref="BE118:BP119"/>
    <mergeCell ref="BN79:BN80"/>
    <mergeCell ref="BO79:BP80"/>
    <mergeCell ref="BH81:BH82"/>
    <mergeCell ref="BI81:BJ82"/>
    <mergeCell ref="BK81:BK82"/>
    <mergeCell ref="BE79:BG82"/>
    <mergeCell ref="BN83:BN84"/>
    <mergeCell ref="AU124:AW125"/>
    <mergeCell ref="AX124:AZ125"/>
    <mergeCell ref="BA124:BC125"/>
    <mergeCell ref="AX128:AZ129"/>
    <mergeCell ref="BA128:BC129"/>
    <mergeCell ref="AX126:AZ127"/>
    <mergeCell ref="AC126:AC127"/>
    <mergeCell ref="AD126:AQ127"/>
    <mergeCell ref="AR126:AT127"/>
    <mergeCell ref="AU126:AW127"/>
    <mergeCell ref="AR120:AT121"/>
    <mergeCell ref="AC120:AC121"/>
    <mergeCell ref="AC124:AC125"/>
    <mergeCell ref="AD124:AQ125"/>
    <mergeCell ref="AR124:AT125"/>
    <mergeCell ref="AC122:AC123"/>
    <mergeCell ref="AD122:AQ123"/>
    <mergeCell ref="AR122:AT123"/>
    <mergeCell ref="AU122:AW123"/>
    <mergeCell ref="AU118:AW119"/>
    <mergeCell ref="AX116:AZ117"/>
    <mergeCell ref="AX114:AZ115"/>
    <mergeCell ref="AU120:AW121"/>
    <mergeCell ref="AX120:AZ121"/>
    <mergeCell ref="AU116:AW117"/>
    <mergeCell ref="AX118:AZ119"/>
    <mergeCell ref="AU114:AW115"/>
    <mergeCell ref="BK79:BK80"/>
    <mergeCell ref="Z123:AB125"/>
    <mergeCell ref="AU111:AW113"/>
    <mergeCell ref="AX111:AZ113"/>
    <mergeCell ref="AR116:AT117"/>
    <mergeCell ref="Z111:AB113"/>
    <mergeCell ref="AC114:AC115"/>
    <mergeCell ref="AD114:AQ115"/>
    <mergeCell ref="AX109:AZ110"/>
    <mergeCell ref="BA118:BC119"/>
    <mergeCell ref="W129:Y131"/>
    <mergeCell ref="BK77:BL78"/>
    <mergeCell ref="BE83:BG86"/>
    <mergeCell ref="BE77:BF78"/>
    <mergeCell ref="BH83:BH84"/>
    <mergeCell ref="BI83:BJ84"/>
    <mergeCell ref="BK83:BK84"/>
    <mergeCell ref="BL79:BM80"/>
    <mergeCell ref="BA114:BC115"/>
    <mergeCell ref="BI79:BJ80"/>
    <mergeCell ref="Q126:S128"/>
    <mergeCell ref="T126:V128"/>
    <mergeCell ref="AD111:AQ113"/>
    <mergeCell ref="BA116:BC117"/>
    <mergeCell ref="T111:V113"/>
    <mergeCell ref="Z114:AB116"/>
    <mergeCell ref="BA111:BC113"/>
    <mergeCell ref="AC116:AC117"/>
    <mergeCell ref="AD116:AQ117"/>
    <mergeCell ref="AC118:AC119"/>
    <mergeCell ref="AR111:AT113"/>
    <mergeCell ref="AS103:AT104"/>
    <mergeCell ref="AM103:AR104"/>
    <mergeCell ref="AM101:AR102"/>
    <mergeCell ref="Q129:S131"/>
    <mergeCell ref="T129:V131"/>
    <mergeCell ref="B129:B131"/>
    <mergeCell ref="C129:P131"/>
    <mergeCell ref="B126:B128"/>
    <mergeCell ref="C126:P128"/>
    <mergeCell ref="BG77:BJ78"/>
    <mergeCell ref="B120:B122"/>
    <mergeCell ref="C120:P122"/>
    <mergeCell ref="B123:B125"/>
    <mergeCell ref="C123:P125"/>
    <mergeCell ref="AD120:AQ121"/>
    <mergeCell ref="AD109:AQ110"/>
    <mergeCell ref="AC111:AC113"/>
    <mergeCell ref="BO77:BP78"/>
    <mergeCell ref="BM77:BN78"/>
    <mergeCell ref="BE100:BP101"/>
    <mergeCell ref="BE95:BP96"/>
    <mergeCell ref="BE97:BP98"/>
    <mergeCell ref="BO83:BP84"/>
    <mergeCell ref="BH85:BH86"/>
    <mergeCell ref="BI85:BJ86"/>
    <mergeCell ref="BK85:BL86"/>
    <mergeCell ref="BH79:BH80"/>
    <mergeCell ref="K93:M94"/>
    <mergeCell ref="Q117:S119"/>
    <mergeCell ref="C109:P110"/>
    <mergeCell ref="B109:B110"/>
    <mergeCell ref="B117:B119"/>
    <mergeCell ref="C117:P119"/>
    <mergeCell ref="B97:I98"/>
    <mergeCell ref="B95:I96"/>
    <mergeCell ref="B93:I94"/>
    <mergeCell ref="K99:P100"/>
    <mergeCell ref="AD118:AQ119"/>
    <mergeCell ref="AR118:AT119"/>
    <mergeCell ref="AR114:AT115"/>
    <mergeCell ref="T117:V119"/>
    <mergeCell ref="W114:Y116"/>
    <mergeCell ref="T114:V116"/>
    <mergeCell ref="W117:Y119"/>
    <mergeCell ref="Z117:AB119"/>
    <mergeCell ref="AV77:AW78"/>
    <mergeCell ref="AC109:AC110"/>
    <mergeCell ref="AU103:AW104"/>
    <mergeCell ref="B107:BC108"/>
    <mergeCell ref="B101:I102"/>
    <mergeCell ref="AJ103:AK104"/>
    <mergeCell ref="K101:P102"/>
    <mergeCell ref="AA101:AB102"/>
    <mergeCell ref="X103:Z104"/>
    <mergeCell ref="B90:I92"/>
    <mergeCell ref="B99:I100"/>
    <mergeCell ref="S99:U100"/>
    <mergeCell ref="AU99:AW100"/>
    <mergeCell ref="AZ99:BA100"/>
    <mergeCell ref="AF95:AG104"/>
    <mergeCell ref="AZ103:BA104"/>
    <mergeCell ref="AU95:AW96"/>
    <mergeCell ref="V95:W96"/>
    <mergeCell ref="AH95:AI96"/>
    <mergeCell ref="AS95:AT96"/>
    <mergeCell ref="AM99:AR100"/>
    <mergeCell ref="AZ95:BA96"/>
    <mergeCell ref="S97:U98"/>
    <mergeCell ref="AZ97:BA98"/>
    <mergeCell ref="S95:U96"/>
    <mergeCell ref="AA95:AB96"/>
    <mergeCell ref="AH97:AI98"/>
    <mergeCell ref="AM95:AR96"/>
    <mergeCell ref="K95:P96"/>
    <mergeCell ref="AU97:AW98"/>
    <mergeCell ref="AM97:AR98"/>
    <mergeCell ref="AS97:AT98"/>
    <mergeCell ref="V97:W98"/>
    <mergeCell ref="X97:Z98"/>
    <mergeCell ref="AJ95:AK96"/>
    <mergeCell ref="AJ97:AK98"/>
    <mergeCell ref="AJ101:AK102"/>
    <mergeCell ref="AH103:AI104"/>
    <mergeCell ref="X95:Z96"/>
    <mergeCell ref="AC95:AE96"/>
    <mergeCell ref="BB82:BC83"/>
    <mergeCell ref="AZ82:BA83"/>
    <mergeCell ref="AX95:AY104"/>
    <mergeCell ref="AA103:AB104"/>
    <mergeCell ref="AC99:AE100"/>
    <mergeCell ref="AH99:AI100"/>
    <mergeCell ref="AH101:AI102"/>
    <mergeCell ref="AS101:AT102"/>
    <mergeCell ref="AP90:BC92"/>
    <mergeCell ref="BB84:BC85"/>
    <mergeCell ref="AZ76:BA77"/>
    <mergeCell ref="AZ78:BA79"/>
    <mergeCell ref="BB78:BC79"/>
    <mergeCell ref="AZ80:BA81"/>
    <mergeCell ref="BB76:BC77"/>
    <mergeCell ref="BB80:BC81"/>
    <mergeCell ref="N93:P94"/>
    <mergeCell ref="AC101:AE102"/>
    <mergeCell ref="AC97:AE98"/>
    <mergeCell ref="Q95:R96"/>
    <mergeCell ref="Q97:R98"/>
    <mergeCell ref="V101:W102"/>
    <mergeCell ref="AA93:AE94"/>
    <mergeCell ref="K97:P98"/>
    <mergeCell ref="AA97:AB98"/>
    <mergeCell ref="V93:Z94"/>
    <mergeCell ref="B88:BC89"/>
    <mergeCell ref="AM90:AO92"/>
    <mergeCell ref="AZ84:BA85"/>
    <mergeCell ref="AX76:AY85"/>
    <mergeCell ref="Z82:AA83"/>
    <mergeCell ref="AL77:AL78"/>
    <mergeCell ref="AM77:AN78"/>
    <mergeCell ref="B84:I85"/>
    <mergeCell ref="AD84:AK85"/>
    <mergeCell ref="T84:U85"/>
    <mergeCell ref="AS93:AW94"/>
    <mergeCell ref="AS84:AU85"/>
    <mergeCell ref="AC103:AE104"/>
    <mergeCell ref="AP93:AR94"/>
    <mergeCell ref="AN84:AP85"/>
    <mergeCell ref="AM93:AO94"/>
    <mergeCell ref="AL84:AM85"/>
    <mergeCell ref="AQ84:AR85"/>
    <mergeCell ref="AV84:AW85"/>
    <mergeCell ref="Q90:AK92"/>
    <mergeCell ref="BE91:BG94"/>
    <mergeCell ref="AU101:AW102"/>
    <mergeCell ref="L82:U83"/>
    <mergeCell ref="Q101:R102"/>
    <mergeCell ref="S101:U102"/>
    <mergeCell ref="AA99:AB100"/>
    <mergeCell ref="X84:Y85"/>
    <mergeCell ref="Z84:AA85"/>
    <mergeCell ref="AS99:AT100"/>
    <mergeCell ref="AJ99:AK100"/>
    <mergeCell ref="BA109:BC110"/>
    <mergeCell ref="BE87:BG90"/>
    <mergeCell ref="BB95:BC96"/>
    <mergeCell ref="AR109:AT110"/>
    <mergeCell ref="AU109:AW110"/>
    <mergeCell ref="BB97:BC98"/>
    <mergeCell ref="BB103:BC104"/>
    <mergeCell ref="BB99:BC100"/>
    <mergeCell ref="AZ101:BA102"/>
    <mergeCell ref="BB101:BC102"/>
    <mergeCell ref="Z109:AB110"/>
    <mergeCell ref="X99:Z100"/>
    <mergeCell ref="Q99:R100"/>
    <mergeCell ref="W109:Y110"/>
    <mergeCell ref="S103:U104"/>
    <mergeCell ref="T109:V110"/>
    <mergeCell ref="Q109:S110"/>
    <mergeCell ref="V99:W100"/>
    <mergeCell ref="X101:Z102"/>
    <mergeCell ref="V103:W104"/>
    <mergeCell ref="V76:W85"/>
    <mergeCell ref="AJ77:AK78"/>
    <mergeCell ref="AD77:AE78"/>
    <mergeCell ref="AF77:AF78"/>
    <mergeCell ref="AG77:AH78"/>
    <mergeCell ref="AI77:AI78"/>
    <mergeCell ref="Z80:AA81"/>
    <mergeCell ref="B82:C83"/>
    <mergeCell ref="T79:U81"/>
    <mergeCell ref="R79:S81"/>
    <mergeCell ref="O84:P85"/>
    <mergeCell ref="J84:K85"/>
    <mergeCell ref="L84:N85"/>
    <mergeCell ref="N79:O81"/>
    <mergeCell ref="D82:H83"/>
    <mergeCell ref="I82:K83"/>
    <mergeCell ref="P79:Q81"/>
    <mergeCell ref="AH72:AS74"/>
    <mergeCell ref="B79:D81"/>
    <mergeCell ref="E79:M81"/>
    <mergeCell ref="X80:Y81"/>
    <mergeCell ref="G77:G78"/>
    <mergeCell ref="H77:I78"/>
    <mergeCell ref="J77:J78"/>
    <mergeCell ref="K77:L78"/>
    <mergeCell ref="Z76:AA77"/>
    <mergeCell ref="B75:B76"/>
    <mergeCell ref="C75:E76"/>
    <mergeCell ref="T77:U78"/>
    <mergeCell ref="Z78:AA79"/>
    <mergeCell ref="X76:Y77"/>
    <mergeCell ref="X78:Y79"/>
    <mergeCell ref="B77:C78"/>
    <mergeCell ref="D77:D78"/>
    <mergeCell ref="E77:F78"/>
    <mergeCell ref="F75:G76"/>
    <mergeCell ref="H75:O76"/>
    <mergeCell ref="P75:Q76"/>
    <mergeCell ref="R75:U76"/>
    <mergeCell ref="AT47:BA49"/>
    <mergeCell ref="AT50:BA51"/>
    <mergeCell ref="AH62:AR67"/>
    <mergeCell ref="AH59:AR61"/>
    <mergeCell ref="AH53:AR58"/>
    <mergeCell ref="AT64:BA65"/>
    <mergeCell ref="AT66:BA67"/>
    <mergeCell ref="AT54:BA55"/>
    <mergeCell ref="V52:X53"/>
    <mergeCell ref="B62:N63"/>
    <mergeCell ref="B60:N61"/>
    <mergeCell ref="AT5:AU6"/>
    <mergeCell ref="AT62:BA63"/>
    <mergeCell ref="AT52:BA53"/>
    <mergeCell ref="AT58:BA59"/>
    <mergeCell ref="AT60:BA61"/>
    <mergeCell ref="AT33:AU34"/>
    <mergeCell ref="AX13:AY14"/>
    <mergeCell ref="BJ11:BK12"/>
    <mergeCell ref="BJ9:BK10"/>
    <mergeCell ref="BJ7:BK8"/>
    <mergeCell ref="BF13:BG14"/>
    <mergeCell ref="BF11:BG12"/>
    <mergeCell ref="BF9:BG10"/>
    <mergeCell ref="BF7:BG8"/>
    <mergeCell ref="BN7:BO8"/>
    <mergeCell ref="BN13:BO14"/>
    <mergeCell ref="BN11:BO12"/>
    <mergeCell ref="BN9:BO10"/>
    <mergeCell ref="BB56:BO57"/>
    <mergeCell ref="BB58:BO59"/>
    <mergeCell ref="AH50:AR52"/>
    <mergeCell ref="AT3:AU4"/>
    <mergeCell ref="AT56:BA57"/>
    <mergeCell ref="AC5:AJ6"/>
    <mergeCell ref="AT39:AU40"/>
    <mergeCell ref="AT41:AU42"/>
    <mergeCell ref="AT43:AU44"/>
    <mergeCell ref="AT31:AU32"/>
    <mergeCell ref="BN21:BO22"/>
    <mergeCell ref="BN19:BO20"/>
    <mergeCell ref="BN17:BO18"/>
    <mergeCell ref="AW3:AY4"/>
    <mergeCell ref="BA3:BG4"/>
    <mergeCell ref="BI3:BO4"/>
    <mergeCell ref="AW5:AY6"/>
    <mergeCell ref="BA5:BG6"/>
    <mergeCell ref="BI5:BO6"/>
    <mergeCell ref="AX11:AY12"/>
    <mergeCell ref="BN29:BO30"/>
    <mergeCell ref="BN27:BO28"/>
    <mergeCell ref="BN25:BO26"/>
    <mergeCell ref="BN23:BO24"/>
    <mergeCell ref="BN35:BO36"/>
    <mergeCell ref="BN33:BO34"/>
    <mergeCell ref="BN31:BO32"/>
    <mergeCell ref="BJ19:BK20"/>
    <mergeCell ref="BM7:BM44"/>
    <mergeCell ref="BN43:BO44"/>
    <mergeCell ref="BN41:BO42"/>
    <mergeCell ref="BN39:BO40"/>
    <mergeCell ref="BN37:BO38"/>
    <mergeCell ref="BN15:BO16"/>
    <mergeCell ref="BJ17:BK18"/>
    <mergeCell ref="BJ15:BK16"/>
    <mergeCell ref="BJ13:BK14"/>
    <mergeCell ref="BJ35:BK36"/>
    <mergeCell ref="BJ33:BK34"/>
    <mergeCell ref="BJ31:BK32"/>
    <mergeCell ref="BJ21:BK22"/>
    <mergeCell ref="BJ29:BK30"/>
    <mergeCell ref="BJ27:BK28"/>
    <mergeCell ref="BJ25:BK26"/>
    <mergeCell ref="BJ43:BK44"/>
    <mergeCell ref="BJ41:BK42"/>
    <mergeCell ref="BJ39:BK40"/>
    <mergeCell ref="BJ37:BK38"/>
    <mergeCell ref="BF21:BG22"/>
    <mergeCell ref="BF19:BG20"/>
    <mergeCell ref="BF17:BG18"/>
    <mergeCell ref="BF15:BG16"/>
    <mergeCell ref="BB29:BC30"/>
    <mergeCell ref="BF43:BG44"/>
    <mergeCell ref="BF41:BG42"/>
    <mergeCell ref="BF39:BG40"/>
    <mergeCell ref="BF37:BG38"/>
    <mergeCell ref="BF35:BG36"/>
    <mergeCell ref="BF33:BG34"/>
    <mergeCell ref="BF31:BG32"/>
    <mergeCell ref="BF29:BG30"/>
    <mergeCell ref="BB37:BC38"/>
    <mergeCell ref="BB11:BC12"/>
    <mergeCell ref="BB9:BC10"/>
    <mergeCell ref="BB7:BC8"/>
    <mergeCell ref="BB21:BC22"/>
    <mergeCell ref="BB19:BC20"/>
    <mergeCell ref="BB17:BC18"/>
    <mergeCell ref="BB15:BC16"/>
    <mergeCell ref="BB13:BC14"/>
    <mergeCell ref="BJ23:BK24"/>
    <mergeCell ref="BF27:BG28"/>
    <mergeCell ref="BF23:BG24"/>
    <mergeCell ref="BF25:BG26"/>
    <mergeCell ref="BE7:BE44"/>
    <mergeCell ref="BI7:BI44"/>
    <mergeCell ref="BB27:BC28"/>
    <mergeCell ref="AX29:AY30"/>
    <mergeCell ref="AX27:AY28"/>
    <mergeCell ref="AX43:AY44"/>
    <mergeCell ref="AX41:AY42"/>
    <mergeCell ref="AX39:AY40"/>
    <mergeCell ref="AX37:AY38"/>
    <mergeCell ref="BB43:BC44"/>
    <mergeCell ref="BB41:BC42"/>
    <mergeCell ref="BB39:BC40"/>
    <mergeCell ref="AX15:AY16"/>
    <mergeCell ref="AX35:AY36"/>
    <mergeCell ref="AX33:AY34"/>
    <mergeCell ref="AX31:AY32"/>
    <mergeCell ref="BB35:BC36"/>
    <mergeCell ref="BB33:BC34"/>
    <mergeCell ref="BB31:BC32"/>
    <mergeCell ref="BB23:BC24"/>
    <mergeCell ref="AT35:AU36"/>
    <mergeCell ref="BB25:BC26"/>
    <mergeCell ref="BA7:BA44"/>
    <mergeCell ref="AX9:AY10"/>
    <mergeCell ref="AX7:AY8"/>
    <mergeCell ref="AX25:AY26"/>
    <mergeCell ref="AX23:AY24"/>
    <mergeCell ref="AX21:AY22"/>
    <mergeCell ref="AX19:AY20"/>
    <mergeCell ref="AX17:AY18"/>
    <mergeCell ref="AW7:AW44"/>
    <mergeCell ref="AT15:AU16"/>
    <mergeCell ref="AT17:AU18"/>
    <mergeCell ref="AT19:AU20"/>
    <mergeCell ref="AT21:AU22"/>
    <mergeCell ref="AT37:AU38"/>
    <mergeCell ref="AT23:AU24"/>
    <mergeCell ref="AT25:AU26"/>
    <mergeCell ref="AT27:AU28"/>
    <mergeCell ref="AT29:AU30"/>
    <mergeCell ref="AK13:AL14"/>
    <mergeCell ref="AK11:AL12"/>
    <mergeCell ref="AT13:AU14"/>
    <mergeCell ref="AP15:AQ16"/>
    <mergeCell ref="AP13:AQ14"/>
    <mergeCell ref="AK9:AL10"/>
    <mergeCell ref="AT7:AU8"/>
    <mergeCell ref="AT9:AU10"/>
    <mergeCell ref="AT11:AU12"/>
    <mergeCell ref="AP11:AQ12"/>
    <mergeCell ref="AP9:AQ10"/>
    <mergeCell ref="AK23:AL24"/>
    <mergeCell ref="AK21:AL22"/>
    <mergeCell ref="AK19:AL20"/>
    <mergeCell ref="AK17:AL18"/>
    <mergeCell ref="AK31:AL32"/>
    <mergeCell ref="AK29:AL30"/>
    <mergeCell ref="AK27:AL28"/>
    <mergeCell ref="AK25:AL26"/>
    <mergeCell ref="AP23:AQ24"/>
    <mergeCell ref="AP21:AQ22"/>
    <mergeCell ref="AP19:AQ20"/>
    <mergeCell ref="AP17:AQ18"/>
    <mergeCell ref="N34:P35"/>
    <mergeCell ref="N38:P39"/>
    <mergeCell ref="N36:P37"/>
    <mergeCell ref="D24:F25"/>
    <mergeCell ref="D38:F39"/>
    <mergeCell ref="D36:F37"/>
    <mergeCell ref="D34:F35"/>
    <mergeCell ref="D32:F33"/>
    <mergeCell ref="D30:F31"/>
    <mergeCell ref="D28:F29"/>
    <mergeCell ref="K36:M37"/>
    <mergeCell ref="H34:J35"/>
    <mergeCell ref="H36:J37"/>
    <mergeCell ref="H24:J25"/>
    <mergeCell ref="H26:J27"/>
    <mergeCell ref="H28:J29"/>
    <mergeCell ref="H30:J31"/>
    <mergeCell ref="R24:X25"/>
    <mergeCell ref="K38:M39"/>
    <mergeCell ref="S42:U43"/>
    <mergeCell ref="O42:Q43"/>
    <mergeCell ref="V42:X43"/>
    <mergeCell ref="B42:N43"/>
    <mergeCell ref="B38:C39"/>
    <mergeCell ref="H32:J33"/>
    <mergeCell ref="D26:F27"/>
    <mergeCell ref="K34:M35"/>
    <mergeCell ref="M4:P5"/>
    <mergeCell ref="U4:X5"/>
    <mergeCell ref="B8:E9"/>
    <mergeCell ref="N8:P9"/>
    <mergeCell ref="E4:H5"/>
    <mergeCell ref="B6:D7"/>
    <mergeCell ref="N6:P7"/>
    <mergeCell ref="E6:M7"/>
    <mergeCell ref="Q4:T5"/>
    <mergeCell ref="B58:N59"/>
    <mergeCell ref="B56:N57"/>
    <mergeCell ref="R26:X27"/>
    <mergeCell ref="R30:X31"/>
    <mergeCell ref="R34:X35"/>
    <mergeCell ref="R38:X39"/>
    <mergeCell ref="R36:X37"/>
    <mergeCell ref="R32:X33"/>
    <mergeCell ref="R28:X29"/>
    <mergeCell ref="V46:X47"/>
    <mergeCell ref="AN39:AO40"/>
    <mergeCell ref="AN37:AO38"/>
    <mergeCell ref="B52:N53"/>
    <mergeCell ref="B50:N51"/>
    <mergeCell ref="S48:U49"/>
    <mergeCell ref="S50:U51"/>
    <mergeCell ref="S44:U45"/>
    <mergeCell ref="B44:N45"/>
    <mergeCell ref="B46:N47"/>
    <mergeCell ref="B48:N49"/>
    <mergeCell ref="AC7:AJ8"/>
    <mergeCell ref="AN35:AO36"/>
    <mergeCell ref="AN33:AO34"/>
    <mergeCell ref="AN31:AO32"/>
    <mergeCell ref="AN29:AO30"/>
    <mergeCell ref="AN27:AO28"/>
    <mergeCell ref="AN25:AO26"/>
    <mergeCell ref="AN23:AO24"/>
    <mergeCell ref="AN21:AO22"/>
    <mergeCell ref="AN19:AO20"/>
    <mergeCell ref="AC15:AJ16"/>
    <mergeCell ref="AC13:AJ14"/>
    <mergeCell ref="AC43:AJ44"/>
    <mergeCell ref="AC41:AJ42"/>
    <mergeCell ref="AC39:AJ40"/>
    <mergeCell ref="AC37:AJ38"/>
    <mergeCell ref="AC35:AJ36"/>
    <mergeCell ref="AC17:AJ18"/>
    <mergeCell ref="AC9:AJ10"/>
    <mergeCell ref="AC11:AJ12"/>
    <mergeCell ref="AC33:AJ34"/>
    <mergeCell ref="AC31:AJ32"/>
    <mergeCell ref="AC29:AJ30"/>
    <mergeCell ref="AC27:AJ28"/>
    <mergeCell ref="AC25:AJ26"/>
    <mergeCell ref="AC23:AJ24"/>
    <mergeCell ref="AC21:AJ22"/>
    <mergeCell ref="AC19:AJ20"/>
    <mergeCell ref="AK5:AL6"/>
    <mergeCell ref="AN7:AO8"/>
    <mergeCell ref="AK7:AL8"/>
    <mergeCell ref="AN17:AO18"/>
    <mergeCell ref="AN15:AO16"/>
    <mergeCell ref="AN13:AO14"/>
    <mergeCell ref="AN11:AO12"/>
    <mergeCell ref="AN9:AO10"/>
    <mergeCell ref="AN5:AO6"/>
    <mergeCell ref="AK15:AL16"/>
    <mergeCell ref="AP33:AQ34"/>
    <mergeCell ref="AP31:AQ32"/>
    <mergeCell ref="AP27:AQ28"/>
    <mergeCell ref="AP29:AQ30"/>
    <mergeCell ref="V50:X51"/>
    <mergeCell ref="V48:X49"/>
    <mergeCell ref="AP5:AQ6"/>
    <mergeCell ref="AP7:AQ8"/>
    <mergeCell ref="AP43:AQ44"/>
    <mergeCell ref="AP41:AQ42"/>
    <mergeCell ref="AP39:AQ40"/>
    <mergeCell ref="AP37:AQ38"/>
    <mergeCell ref="AP35:AQ36"/>
    <mergeCell ref="M20:X21"/>
    <mergeCell ref="S46:U47"/>
    <mergeCell ref="S58:U59"/>
    <mergeCell ref="S56:U57"/>
    <mergeCell ref="S54:U55"/>
    <mergeCell ref="S52:U53"/>
    <mergeCell ref="M14:R15"/>
    <mergeCell ref="S14:X15"/>
    <mergeCell ref="S16:X17"/>
    <mergeCell ref="M16:R17"/>
    <mergeCell ref="B14:F15"/>
    <mergeCell ref="G14:L15"/>
    <mergeCell ref="B16:F17"/>
    <mergeCell ref="G16:L17"/>
    <mergeCell ref="G18:L19"/>
    <mergeCell ref="G20:L21"/>
    <mergeCell ref="B18:F19"/>
    <mergeCell ref="B20:F21"/>
    <mergeCell ref="M18:X19"/>
    <mergeCell ref="B2:H3"/>
    <mergeCell ref="I2:X3"/>
    <mergeCell ref="B10:G11"/>
    <mergeCell ref="H10:X11"/>
    <mergeCell ref="Q6:X7"/>
    <mergeCell ref="F8:M9"/>
    <mergeCell ref="Q8:X9"/>
    <mergeCell ref="B4:D5"/>
    <mergeCell ref="I4:L5"/>
    <mergeCell ref="B28:C29"/>
    <mergeCell ref="B24:C25"/>
    <mergeCell ref="K24:M25"/>
    <mergeCell ref="N24:P25"/>
    <mergeCell ref="N26:P27"/>
    <mergeCell ref="B26:C27"/>
    <mergeCell ref="K26:M27"/>
    <mergeCell ref="K28:M29"/>
    <mergeCell ref="N28:P29"/>
    <mergeCell ref="N30:P31"/>
    <mergeCell ref="B32:C33"/>
    <mergeCell ref="K30:M31"/>
    <mergeCell ref="K32:M33"/>
    <mergeCell ref="N32:P33"/>
    <mergeCell ref="B30:C31"/>
    <mergeCell ref="B34:C35"/>
    <mergeCell ref="B36:C37"/>
    <mergeCell ref="S66:U67"/>
    <mergeCell ref="S62:U63"/>
    <mergeCell ref="S60:U61"/>
    <mergeCell ref="O62:Q63"/>
    <mergeCell ref="O46:Q47"/>
    <mergeCell ref="O48:Q49"/>
    <mergeCell ref="O52:Q53"/>
    <mergeCell ref="O44:Q45"/>
    <mergeCell ref="AN43:AO44"/>
    <mergeCell ref="AN41:AO42"/>
    <mergeCell ref="V66:X67"/>
    <mergeCell ref="V64:X65"/>
    <mergeCell ref="V62:X63"/>
    <mergeCell ref="V60:X61"/>
    <mergeCell ref="V44:X45"/>
    <mergeCell ref="V58:X59"/>
    <mergeCell ref="V56:X57"/>
    <mergeCell ref="V54:X55"/>
    <mergeCell ref="O58:Q59"/>
    <mergeCell ref="B66:N67"/>
    <mergeCell ref="B64:N65"/>
    <mergeCell ref="AP25:AQ26"/>
    <mergeCell ref="AK43:AL44"/>
    <mergeCell ref="AK41:AL42"/>
    <mergeCell ref="AK39:AL40"/>
    <mergeCell ref="AK37:AL38"/>
    <mergeCell ref="AK35:AL36"/>
    <mergeCell ref="AK33:AL34"/>
    <mergeCell ref="H38:J39"/>
    <mergeCell ref="O50:Q51"/>
    <mergeCell ref="O54:Q55"/>
    <mergeCell ref="O56:Q57"/>
    <mergeCell ref="B54:N55"/>
    <mergeCell ref="W111:Y113"/>
    <mergeCell ref="O60:Q61"/>
    <mergeCell ref="O64:Q65"/>
    <mergeCell ref="O66:Q67"/>
    <mergeCell ref="S64:U65"/>
    <mergeCell ref="X82:Y83"/>
    <mergeCell ref="M77:S78"/>
    <mergeCell ref="Q93:U94"/>
    <mergeCell ref="Q84:S85"/>
    <mergeCell ref="K90:P92"/>
    <mergeCell ref="Q103:R104"/>
    <mergeCell ref="B114:B116"/>
    <mergeCell ref="C114:P116"/>
    <mergeCell ref="Q114:S116"/>
    <mergeCell ref="B111:B113"/>
    <mergeCell ref="C111:P113"/>
    <mergeCell ref="Q111:S113"/>
    <mergeCell ref="B103:I104"/>
    <mergeCell ref="K103:P104"/>
    <mergeCell ref="Z129:AB131"/>
    <mergeCell ref="Q120:S122"/>
    <mergeCell ref="T120:V122"/>
    <mergeCell ref="W120:Y122"/>
    <mergeCell ref="Z120:AB122"/>
    <mergeCell ref="T123:V125"/>
    <mergeCell ref="W123:Y125"/>
    <mergeCell ref="Q123:S125"/>
    <mergeCell ref="W126:Y128"/>
    <mergeCell ref="Z126:AB128"/>
  </mergeCells>
  <conditionalFormatting sqref="R26">
    <cfRule type="expression" priority="1" dxfId="0" stopIfTrue="1">
      <formula>$R$26&lt;$S$44/2</formula>
    </cfRule>
    <cfRule type="expression" priority="2" dxfId="1" stopIfTrue="1">
      <formula>$R$26&lt;$S$44/4</formula>
    </cfRule>
  </conditionalFormatting>
  <printOptions horizontalCentered="1"/>
  <pageMargins left="0.25" right="0.25" top="0.75" bottom="0.25" header="0.25" footer="0.25"/>
  <pageSetup fitToHeight="1" fitToWidth="1" horizontalDpi="600" verticalDpi="600" orientation="landscape" scale="51" r:id="rId3"/>
  <headerFooter alignWithMargins="0">
    <oddHeader>&amp;C&amp;20FALLOUT PNP RPG - ЛИСТ ПЕРСОНАЖА - ЧАСТЬ 1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Y133"/>
  <sheetViews>
    <sheetView workbookViewId="0" topLeftCell="A1">
      <selection activeCell="S25" sqref="S25"/>
    </sheetView>
  </sheetViews>
  <sheetFormatPr defaultColWidth="9.140625" defaultRowHeight="7.5" customHeight="1"/>
  <cols>
    <col min="1" max="92" width="2.57421875" style="76" customWidth="1"/>
    <col min="93" max="93" width="3.28125" style="76" customWidth="1"/>
    <col min="94" max="94" width="2.57421875" style="76" customWidth="1"/>
    <col min="95" max="95" width="3.8515625" style="76" customWidth="1"/>
    <col min="96" max="99" width="2.57421875" style="76" customWidth="1"/>
    <col min="100" max="100" width="3.421875" style="76" customWidth="1"/>
    <col min="101" max="101" width="2.57421875" style="76" customWidth="1"/>
    <col min="102" max="102" width="3.57421875" style="76" customWidth="1"/>
    <col min="103" max="16384" width="2.57421875" style="76" customWidth="1"/>
  </cols>
  <sheetData>
    <row r="1" spans="1:103" ht="7.5" customHeight="1" thickBot="1">
      <c r="A1" s="34"/>
      <c r="B1" s="12"/>
      <c r="C1" s="12"/>
      <c r="D1" s="12"/>
      <c r="E1" s="12"/>
      <c r="F1" s="27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54"/>
      <c r="AI1" s="44"/>
      <c r="AJ1" s="44"/>
      <c r="AK1" s="44"/>
      <c r="AL1" s="44"/>
      <c r="AM1" s="44"/>
      <c r="AN1" s="44"/>
      <c r="AO1" s="44"/>
      <c r="AP1" s="44"/>
      <c r="AQ1" s="143"/>
      <c r="AR1" s="143"/>
      <c r="AS1" s="143"/>
      <c r="AT1" s="143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143"/>
      <c r="BS1" s="143"/>
      <c r="BT1" s="143"/>
      <c r="BU1" s="143"/>
      <c r="BV1" s="143"/>
      <c r="BW1" s="151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51"/>
    </row>
    <row r="2" spans="1:103" ht="7.5" customHeight="1">
      <c r="A2" s="19"/>
      <c r="B2" s="402" t="s">
        <v>1079</v>
      </c>
      <c r="C2" s="263"/>
      <c r="D2" s="263"/>
      <c r="E2" s="263"/>
      <c r="F2" s="264"/>
      <c r="G2" s="51"/>
      <c r="H2" s="569" t="s">
        <v>1078</v>
      </c>
      <c r="I2" s="570"/>
      <c r="J2" s="570"/>
      <c r="K2" s="571"/>
      <c r="M2" s="731">
        <v>1</v>
      </c>
      <c r="N2" s="731"/>
      <c r="O2" s="51"/>
      <c r="P2" s="731">
        <v>2</v>
      </c>
      <c r="Q2" s="731"/>
      <c r="R2" s="51"/>
      <c r="S2" s="731">
        <v>3</v>
      </c>
      <c r="T2" s="731"/>
      <c r="V2" s="731">
        <v>4</v>
      </c>
      <c r="W2" s="731"/>
      <c r="Y2" s="731">
        <v>5</v>
      </c>
      <c r="Z2" s="731"/>
      <c r="AB2" s="731">
        <v>6</v>
      </c>
      <c r="AC2" s="731"/>
      <c r="AE2" s="731">
        <v>7</v>
      </c>
      <c r="AF2" s="731"/>
      <c r="AG2" s="77"/>
      <c r="AH2" s="120"/>
      <c r="AI2" s="402" t="s">
        <v>1132</v>
      </c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4"/>
      <c r="BW2" s="119"/>
      <c r="BX2" s="77"/>
      <c r="BY2" s="402" t="s">
        <v>1101</v>
      </c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4"/>
      <c r="CY2" s="119"/>
    </row>
    <row r="3" spans="1:103" ht="7.5" customHeight="1" thickBot="1">
      <c r="A3" s="19"/>
      <c r="B3" s="404"/>
      <c r="C3" s="269"/>
      <c r="D3" s="269"/>
      <c r="E3" s="269"/>
      <c r="F3" s="270"/>
      <c r="G3" s="51"/>
      <c r="H3" s="572"/>
      <c r="I3" s="573"/>
      <c r="J3" s="573"/>
      <c r="K3" s="574"/>
      <c r="M3" s="731"/>
      <c r="N3" s="731"/>
      <c r="O3" s="51"/>
      <c r="P3" s="731"/>
      <c r="Q3" s="731"/>
      <c r="R3" s="51"/>
      <c r="S3" s="731"/>
      <c r="T3" s="731"/>
      <c r="V3" s="731"/>
      <c r="W3" s="731"/>
      <c r="Y3" s="731"/>
      <c r="Z3" s="731"/>
      <c r="AB3" s="731"/>
      <c r="AC3" s="731"/>
      <c r="AE3" s="731"/>
      <c r="AF3" s="731"/>
      <c r="AG3" s="77"/>
      <c r="AH3" s="120"/>
      <c r="AI3" s="404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70"/>
      <c r="BW3" s="119"/>
      <c r="BX3" s="77"/>
      <c r="BY3" s="404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70"/>
      <c r="CY3" s="119"/>
    </row>
    <row r="4" spans="1:103" ht="7.5" customHeight="1" thickBot="1">
      <c r="A4" s="6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46"/>
      <c r="S4" s="46"/>
      <c r="T4" s="46"/>
      <c r="U4" s="125"/>
      <c r="V4" s="129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0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13"/>
      <c r="BB4" s="105"/>
      <c r="BC4" s="105"/>
      <c r="BD4" s="105"/>
      <c r="BE4" s="105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77"/>
      <c r="BS4" s="77"/>
      <c r="BT4" s="77"/>
      <c r="BU4" s="77"/>
      <c r="BV4" s="77"/>
      <c r="BW4" s="119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119"/>
    </row>
    <row r="5" spans="1:103" ht="7.5" customHeight="1" thickBot="1">
      <c r="A5" s="19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13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120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119"/>
      <c r="BX5" s="77"/>
      <c r="BY5" s="569" t="s">
        <v>1160</v>
      </c>
      <c r="BZ5" s="570"/>
      <c r="CA5" s="570"/>
      <c r="CB5" s="570"/>
      <c r="CC5" s="570"/>
      <c r="CD5" s="570"/>
      <c r="CE5" s="570"/>
      <c r="CF5" s="570"/>
      <c r="CG5" s="570"/>
      <c r="CH5" s="570"/>
      <c r="CI5" s="570"/>
      <c r="CJ5" s="571"/>
      <c r="CK5" s="77"/>
      <c r="CL5" s="510" t="s">
        <v>73</v>
      </c>
      <c r="CM5" s="510"/>
      <c r="CN5" s="510"/>
      <c r="CO5" s="510"/>
      <c r="CP5" s="510"/>
      <c r="CQ5" s="510"/>
      <c r="CR5" s="510"/>
      <c r="CS5" s="510"/>
      <c r="CT5" s="510"/>
      <c r="CU5" s="510"/>
      <c r="CV5" s="510"/>
      <c r="CW5" s="510"/>
      <c r="CX5" s="510"/>
      <c r="CY5" s="119"/>
    </row>
    <row r="6" spans="1:103" ht="7.5" customHeight="1" thickBot="1">
      <c r="A6" s="19"/>
      <c r="B6" s="569" t="s">
        <v>1100</v>
      </c>
      <c r="C6" s="570"/>
      <c r="D6" s="570"/>
      <c r="E6" s="570"/>
      <c r="F6" s="657"/>
      <c r="G6" s="741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742"/>
      <c r="U6" s="77"/>
      <c r="V6" s="569" t="s">
        <v>1118</v>
      </c>
      <c r="W6" s="570"/>
      <c r="X6" s="570"/>
      <c r="Y6" s="570"/>
      <c r="Z6" s="571"/>
      <c r="AA6" s="748">
        <f>IF(INDEX(Таблицы!AU518:AU555,Таблицы!Y520,1)="","",INDEX(Таблицы!AU518:AU555,Таблицы!Y520,1))</f>
      </c>
      <c r="AB6" s="716"/>
      <c r="AC6" s="716"/>
      <c r="AD6" s="716"/>
      <c r="AE6" s="716"/>
      <c r="AF6" s="716"/>
      <c r="AG6" s="77"/>
      <c r="AH6" s="120"/>
      <c r="AI6" s="506" t="s">
        <v>1133</v>
      </c>
      <c r="AJ6" s="507"/>
      <c r="AK6" s="507"/>
      <c r="AL6" s="507"/>
      <c r="AM6" s="508"/>
      <c r="AN6" s="515"/>
      <c r="AO6" s="516"/>
      <c r="AP6" s="516"/>
      <c r="AQ6" s="516"/>
      <c r="AR6" s="516"/>
      <c r="AS6" s="516"/>
      <c r="AT6" s="516"/>
      <c r="AU6" s="516"/>
      <c r="AV6" s="516"/>
      <c r="AW6" s="516"/>
      <c r="AX6" s="516"/>
      <c r="AY6" s="516"/>
      <c r="AZ6" s="516"/>
      <c r="BA6" s="516"/>
      <c r="BB6" s="516"/>
      <c r="BC6" s="516"/>
      <c r="BD6" s="516"/>
      <c r="BE6" s="516"/>
      <c r="BF6" s="516"/>
      <c r="BG6" s="516"/>
      <c r="BH6" s="516"/>
      <c r="BI6" s="13"/>
      <c r="BJ6" s="506" t="s">
        <v>1174</v>
      </c>
      <c r="BK6" s="507"/>
      <c r="BL6" s="507"/>
      <c r="BM6" s="508"/>
      <c r="BR6" s="448" t="s">
        <v>103</v>
      </c>
      <c r="BS6" s="449"/>
      <c r="BT6" s="449"/>
      <c r="BU6" s="449"/>
      <c r="BV6" s="450"/>
      <c r="BW6" s="119"/>
      <c r="BX6" s="77"/>
      <c r="BY6" s="572"/>
      <c r="BZ6" s="573"/>
      <c r="CA6" s="573"/>
      <c r="CB6" s="573"/>
      <c r="CC6" s="573"/>
      <c r="CD6" s="573"/>
      <c r="CE6" s="573"/>
      <c r="CF6" s="573"/>
      <c r="CG6" s="573"/>
      <c r="CH6" s="573"/>
      <c r="CI6" s="573"/>
      <c r="CJ6" s="574"/>
      <c r="CK6" s="77"/>
      <c r="CL6" s="510"/>
      <c r="CM6" s="510"/>
      <c r="CN6" s="510"/>
      <c r="CO6" s="510"/>
      <c r="CP6" s="510"/>
      <c r="CQ6" s="510"/>
      <c r="CR6" s="510"/>
      <c r="CS6" s="510"/>
      <c r="CT6" s="510"/>
      <c r="CU6" s="510"/>
      <c r="CV6" s="510"/>
      <c r="CW6" s="510"/>
      <c r="CX6" s="510"/>
      <c r="CY6" s="119"/>
    </row>
    <row r="7" spans="1:103" ht="7.5" customHeight="1" thickBot="1">
      <c r="A7" s="19"/>
      <c r="B7" s="658"/>
      <c r="C7" s="659"/>
      <c r="D7" s="659"/>
      <c r="E7" s="659"/>
      <c r="F7" s="660"/>
      <c r="G7" s="74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744"/>
      <c r="U7" s="77"/>
      <c r="V7" s="572"/>
      <c r="W7" s="573"/>
      <c r="X7" s="573"/>
      <c r="Y7" s="573"/>
      <c r="Z7" s="574"/>
      <c r="AA7" s="748"/>
      <c r="AB7" s="716"/>
      <c r="AC7" s="716"/>
      <c r="AD7" s="716"/>
      <c r="AE7" s="716"/>
      <c r="AF7" s="716"/>
      <c r="AG7" s="77"/>
      <c r="AH7" s="120"/>
      <c r="AI7" s="509"/>
      <c r="AJ7" s="510"/>
      <c r="AK7" s="510"/>
      <c r="AL7" s="510"/>
      <c r="AM7" s="511"/>
      <c r="AN7" s="515"/>
      <c r="AO7" s="516"/>
      <c r="AP7" s="516"/>
      <c r="AQ7" s="516"/>
      <c r="AR7" s="516"/>
      <c r="AS7" s="516"/>
      <c r="AT7" s="516"/>
      <c r="AU7" s="516"/>
      <c r="AV7" s="516"/>
      <c r="AW7" s="516"/>
      <c r="AX7" s="516"/>
      <c r="AY7" s="516"/>
      <c r="AZ7" s="516"/>
      <c r="BA7" s="516"/>
      <c r="BB7" s="516"/>
      <c r="BC7" s="516"/>
      <c r="BD7" s="516"/>
      <c r="BE7" s="516"/>
      <c r="BF7" s="516"/>
      <c r="BG7" s="516"/>
      <c r="BH7" s="516"/>
      <c r="BI7" s="77"/>
      <c r="BJ7" s="512"/>
      <c r="BK7" s="513"/>
      <c r="BL7" s="513"/>
      <c r="BM7" s="514"/>
      <c r="BR7" s="451"/>
      <c r="BS7" s="452"/>
      <c r="BT7" s="452"/>
      <c r="BU7" s="452"/>
      <c r="BV7" s="453"/>
      <c r="BW7" s="119"/>
      <c r="BX7" s="77"/>
      <c r="BY7" s="827"/>
      <c r="BZ7" s="827"/>
      <c r="CA7" s="827"/>
      <c r="CB7" s="827"/>
      <c r="CC7" s="827"/>
      <c r="CD7" s="827"/>
      <c r="CE7" s="827"/>
      <c r="CF7" s="827"/>
      <c r="CG7" s="827"/>
      <c r="CH7" s="827"/>
      <c r="CI7" s="827"/>
      <c r="CJ7" s="827"/>
      <c r="CK7" s="77"/>
      <c r="CL7" s="856" t="s">
        <v>1170</v>
      </c>
      <c r="CM7" s="856"/>
      <c r="CN7" s="856"/>
      <c r="CO7" s="856"/>
      <c r="CP7" s="858"/>
      <c r="CQ7" s="859"/>
      <c r="CR7" s="77"/>
      <c r="CS7" s="856" t="s">
        <v>83</v>
      </c>
      <c r="CT7" s="856"/>
      <c r="CU7" s="856"/>
      <c r="CV7" s="856"/>
      <c r="CW7" s="858"/>
      <c r="CX7" s="859"/>
      <c r="CY7" s="119"/>
    </row>
    <row r="8" spans="1:103" ht="7.5" customHeight="1" thickBot="1">
      <c r="A8" s="19"/>
      <c r="B8" s="572"/>
      <c r="C8" s="573"/>
      <c r="D8" s="573"/>
      <c r="E8" s="573"/>
      <c r="F8" s="661"/>
      <c r="G8" s="745"/>
      <c r="H8" s="746"/>
      <c r="I8" s="746"/>
      <c r="J8" s="746"/>
      <c r="K8" s="746"/>
      <c r="L8" s="746"/>
      <c r="M8" s="746"/>
      <c r="N8" s="746"/>
      <c r="O8" s="746"/>
      <c r="P8" s="746"/>
      <c r="Q8" s="746"/>
      <c r="R8" s="746"/>
      <c r="S8" s="746"/>
      <c r="T8" s="747"/>
      <c r="U8" s="77"/>
      <c r="V8" s="286" t="s">
        <v>1088</v>
      </c>
      <c r="W8" s="286"/>
      <c r="X8" s="497">
        <f>IF(INDEX(Таблицы!AV518:AV555,Таблицы!Y520,1)="","",INDEX(Таблицы!AV518:AV555,Таблицы!Y520,1))</f>
      </c>
      <c r="Y8" s="497"/>
      <c r="Z8" s="497"/>
      <c r="AA8" s="286" t="s">
        <v>279</v>
      </c>
      <c r="AB8" s="286"/>
      <c r="AC8" s="725">
        <f>IF(INDEX(Таблицы!AX518:AX555,Таблицы!Y520,1)="","",INDEX(Таблицы!AX518:AX555,Таблицы!Y520,1))</f>
      </c>
      <c r="AD8" s="726"/>
      <c r="AE8" s="726"/>
      <c r="AF8" s="727"/>
      <c r="AG8" s="13"/>
      <c r="AH8" s="50"/>
      <c r="AI8" s="512"/>
      <c r="AJ8" s="513"/>
      <c r="AK8" s="513"/>
      <c r="AL8" s="513"/>
      <c r="AM8" s="514"/>
      <c r="AN8" s="515"/>
      <c r="AO8" s="516"/>
      <c r="AP8" s="516"/>
      <c r="AQ8" s="516"/>
      <c r="AR8" s="516"/>
      <c r="AS8" s="516"/>
      <c r="AT8" s="516"/>
      <c r="AU8" s="516"/>
      <c r="AV8" s="516"/>
      <c r="AW8" s="516"/>
      <c r="AX8" s="516"/>
      <c r="AY8" s="516"/>
      <c r="AZ8" s="516"/>
      <c r="BA8" s="516"/>
      <c r="BB8" s="516"/>
      <c r="BC8" s="516"/>
      <c r="BD8" s="516"/>
      <c r="BE8" s="516"/>
      <c r="BF8" s="516"/>
      <c r="BG8" s="516"/>
      <c r="BH8" s="516"/>
      <c r="BI8" s="77"/>
      <c r="BJ8" s="519" t="s">
        <v>1176</v>
      </c>
      <c r="BK8" s="519"/>
      <c r="BL8" s="519"/>
      <c r="BM8" s="519"/>
      <c r="BN8" s="522"/>
      <c r="BO8" s="522"/>
      <c r="BQ8" s="523" t="s">
        <v>282</v>
      </c>
      <c r="BR8" s="539"/>
      <c r="BS8" s="540"/>
      <c r="BT8" s="541"/>
      <c r="BU8" s="541"/>
      <c r="BV8" s="542"/>
      <c r="BW8" s="119"/>
      <c r="BX8" s="77"/>
      <c r="BY8" s="828"/>
      <c r="BZ8" s="828"/>
      <c r="CA8" s="828"/>
      <c r="CB8" s="828"/>
      <c r="CC8" s="828"/>
      <c r="CD8" s="828"/>
      <c r="CE8" s="828"/>
      <c r="CF8" s="828"/>
      <c r="CG8" s="828"/>
      <c r="CH8" s="828"/>
      <c r="CI8" s="828"/>
      <c r="CJ8" s="828"/>
      <c r="CK8" s="77"/>
      <c r="CL8" s="857"/>
      <c r="CM8" s="857"/>
      <c r="CN8" s="857"/>
      <c r="CO8" s="857"/>
      <c r="CP8" s="860"/>
      <c r="CQ8" s="860"/>
      <c r="CR8" s="77"/>
      <c r="CS8" s="857"/>
      <c r="CT8" s="857"/>
      <c r="CU8" s="857"/>
      <c r="CV8" s="857"/>
      <c r="CW8" s="860"/>
      <c r="CX8" s="860"/>
      <c r="CY8" s="119"/>
    </row>
    <row r="9" spans="1:103" ht="7.5" customHeight="1">
      <c r="A9" s="77"/>
      <c r="B9" s="286" t="s">
        <v>958</v>
      </c>
      <c r="C9" s="286"/>
      <c r="D9" s="287">
        <f>IF(INDEX(Таблицы!AA518:AA555,Таблицы!Y520,1)="","",INDEX(Таблицы!AA518:AA555,Таблицы!Y520,1))</f>
      </c>
      <c r="E9" s="287"/>
      <c r="F9" s="287"/>
      <c r="G9" s="286" t="s">
        <v>960</v>
      </c>
      <c r="H9" s="286"/>
      <c r="I9" s="287">
        <f>IF(INDEX(Таблицы!AB518:AB555,Таблицы!Y520,1)="","",INDEX(Таблицы!AB518:AB555,Таблицы!Y520,1))</f>
      </c>
      <c r="J9" s="287"/>
      <c r="K9" s="287"/>
      <c r="L9" s="286" t="s">
        <v>281</v>
      </c>
      <c r="M9" s="286"/>
      <c r="N9" s="287">
        <f>IF(INDEX(Таблицы!AC518:AC555,Таблицы!Y520,1)="","",INDEX(Таблицы!AC518:AC555,Таблицы!Y520,1))</f>
      </c>
      <c r="O9" s="287"/>
      <c r="P9" s="286" t="s">
        <v>959</v>
      </c>
      <c r="Q9" s="286"/>
      <c r="R9" s="287">
        <f>IF(INDEX(Таблицы!AD518:AD555,Таблицы!Y520,1)="","",INDEX(Таблицы!AD518:AD555,Таблицы!Y520,1))</f>
      </c>
      <c r="S9" s="287"/>
      <c r="T9" s="287"/>
      <c r="U9" s="77"/>
      <c r="V9" s="172"/>
      <c r="W9" s="172"/>
      <c r="X9" s="497"/>
      <c r="Y9" s="497"/>
      <c r="Z9" s="497"/>
      <c r="AA9" s="172"/>
      <c r="AB9" s="172"/>
      <c r="AC9" s="728"/>
      <c r="AD9" s="729"/>
      <c r="AE9" s="729"/>
      <c r="AF9" s="730"/>
      <c r="AG9" s="77"/>
      <c r="AH9" s="120"/>
      <c r="AI9" s="376" t="s">
        <v>67</v>
      </c>
      <c r="AJ9" s="376"/>
      <c r="AK9" s="376"/>
      <c r="AL9" s="677"/>
      <c r="AM9" s="678"/>
      <c r="AN9" s="678"/>
      <c r="AO9" s="678"/>
      <c r="AP9" s="678"/>
      <c r="AQ9" s="678"/>
      <c r="AR9" s="678"/>
      <c r="AS9" s="678"/>
      <c r="AT9" s="679"/>
      <c r="AU9" s="376" t="s">
        <v>71</v>
      </c>
      <c r="AV9" s="376"/>
      <c r="AW9" s="376"/>
      <c r="AX9" s="376"/>
      <c r="AY9" s="517"/>
      <c r="AZ9" s="517"/>
      <c r="BA9" s="517"/>
      <c r="BB9" s="517"/>
      <c r="BC9" s="517"/>
      <c r="BD9" s="517"/>
      <c r="BE9" s="517"/>
      <c r="BF9" s="517"/>
      <c r="BG9" s="517"/>
      <c r="BH9" s="517"/>
      <c r="BI9" s="77"/>
      <c r="BJ9" s="519"/>
      <c r="BK9" s="519"/>
      <c r="BL9" s="519"/>
      <c r="BM9" s="519"/>
      <c r="BN9" s="522"/>
      <c r="BO9" s="522"/>
      <c r="BQ9" s="523"/>
      <c r="BR9" s="530"/>
      <c r="BS9" s="531"/>
      <c r="BT9" s="534"/>
      <c r="BU9" s="534"/>
      <c r="BV9" s="535"/>
      <c r="BW9" s="119"/>
      <c r="BX9" s="77"/>
      <c r="BY9" s="172" t="s">
        <v>958</v>
      </c>
      <c r="BZ9" s="172"/>
      <c r="CA9" s="558"/>
      <c r="CB9" s="558"/>
      <c r="CC9" s="286" t="s">
        <v>960</v>
      </c>
      <c r="CD9" s="286"/>
      <c r="CE9" s="558"/>
      <c r="CF9" s="558"/>
      <c r="CG9" s="172" t="s">
        <v>281</v>
      </c>
      <c r="CH9" s="172"/>
      <c r="CI9" s="558"/>
      <c r="CJ9" s="558"/>
      <c r="CK9" s="77"/>
      <c r="CL9" s="857" t="s">
        <v>1171</v>
      </c>
      <c r="CM9" s="857"/>
      <c r="CN9" s="857"/>
      <c r="CO9" s="857"/>
      <c r="CP9" s="861"/>
      <c r="CQ9" s="860"/>
      <c r="CR9" s="77"/>
      <c r="CS9" s="857" t="s">
        <v>84</v>
      </c>
      <c r="CT9" s="857"/>
      <c r="CU9" s="857"/>
      <c r="CV9" s="857"/>
      <c r="CW9" s="861"/>
      <c r="CX9" s="860"/>
      <c r="CY9" s="119"/>
    </row>
    <row r="10" spans="1:103" ht="7.5" customHeight="1">
      <c r="A10" s="77"/>
      <c r="B10" s="172"/>
      <c r="C10" s="172"/>
      <c r="D10" s="228"/>
      <c r="E10" s="228"/>
      <c r="F10" s="228"/>
      <c r="G10" s="172"/>
      <c r="H10" s="172"/>
      <c r="I10" s="228"/>
      <c r="J10" s="228"/>
      <c r="K10" s="228"/>
      <c r="L10" s="172"/>
      <c r="M10" s="172"/>
      <c r="N10" s="228"/>
      <c r="O10" s="228"/>
      <c r="P10" s="172"/>
      <c r="Q10" s="172"/>
      <c r="R10" s="228"/>
      <c r="S10" s="228"/>
      <c r="T10" s="228"/>
      <c r="U10" s="77"/>
      <c r="V10" s="172" t="s">
        <v>281</v>
      </c>
      <c r="W10" s="172"/>
      <c r="X10" s="172" t="s">
        <v>282</v>
      </c>
      <c r="Y10" s="228">
        <f>IF(INDEX(Таблицы!AW518:AW555,Таблицы!Y520,1)="","",INDEX(Таблицы!AW518:AW555,Таблицы!Y520,1))</f>
      </c>
      <c r="Z10" s="228"/>
      <c r="AA10" s="172" t="s">
        <v>283</v>
      </c>
      <c r="AB10" s="228">
        <f>IF(INDEX(Таблицы!BE518:BE555,Таблицы!Y520,1)="","",INDEX(Таблицы!BE518:BE555,Таблицы!Y520,1))</f>
      </c>
      <c r="AC10" s="228"/>
      <c r="AD10" s="172" t="s">
        <v>284</v>
      </c>
      <c r="AE10" s="228">
        <f>IF(INDEX(Таблицы!BF518:BF555,Таблицы!Y520,1)="","",INDEX(Таблицы!BF518:BF555,Таблицы!Y520,1))</f>
      </c>
      <c r="AF10" s="228"/>
      <c r="AG10" s="77"/>
      <c r="AH10" s="120"/>
      <c r="AI10" s="377"/>
      <c r="AJ10" s="377"/>
      <c r="AK10" s="377"/>
      <c r="AL10" s="680"/>
      <c r="AM10" s="681"/>
      <c r="AN10" s="681"/>
      <c r="AO10" s="681"/>
      <c r="AP10" s="681"/>
      <c r="AQ10" s="681"/>
      <c r="AR10" s="681"/>
      <c r="AS10" s="681"/>
      <c r="AT10" s="682"/>
      <c r="AU10" s="377"/>
      <c r="AV10" s="377"/>
      <c r="AW10" s="377"/>
      <c r="AX10" s="377"/>
      <c r="AY10" s="518"/>
      <c r="AZ10" s="518"/>
      <c r="BA10" s="518"/>
      <c r="BB10" s="518"/>
      <c r="BC10" s="518"/>
      <c r="BD10" s="518"/>
      <c r="BE10" s="518"/>
      <c r="BF10" s="518"/>
      <c r="BG10" s="518"/>
      <c r="BH10" s="518"/>
      <c r="BI10" s="77"/>
      <c r="BJ10" s="519" t="s">
        <v>1177</v>
      </c>
      <c r="BK10" s="519"/>
      <c r="BL10" s="519"/>
      <c r="BM10" s="519"/>
      <c r="BN10" s="522"/>
      <c r="BO10" s="522"/>
      <c r="BQ10" s="523" t="s">
        <v>322</v>
      </c>
      <c r="BR10" s="530"/>
      <c r="BS10" s="531"/>
      <c r="BT10" s="532"/>
      <c r="BU10" s="532"/>
      <c r="BV10" s="533"/>
      <c r="BW10" s="119"/>
      <c r="BX10" s="77"/>
      <c r="BY10" s="172"/>
      <c r="BZ10" s="172"/>
      <c r="CA10" s="558"/>
      <c r="CB10" s="558"/>
      <c r="CC10" s="172"/>
      <c r="CD10" s="172"/>
      <c r="CE10" s="558"/>
      <c r="CF10" s="558"/>
      <c r="CG10" s="172"/>
      <c r="CH10" s="172"/>
      <c r="CI10" s="558"/>
      <c r="CJ10" s="558"/>
      <c r="CK10" s="77"/>
      <c r="CL10" s="857"/>
      <c r="CM10" s="857"/>
      <c r="CN10" s="857"/>
      <c r="CO10" s="857"/>
      <c r="CP10" s="860"/>
      <c r="CQ10" s="860"/>
      <c r="CR10" s="77"/>
      <c r="CS10" s="857"/>
      <c r="CT10" s="857"/>
      <c r="CU10" s="857"/>
      <c r="CV10" s="857"/>
      <c r="CW10" s="860"/>
      <c r="CX10" s="860"/>
      <c r="CY10" s="119"/>
    </row>
    <row r="11" spans="1:103" ht="7.5" customHeight="1">
      <c r="A11" s="77"/>
      <c r="B11" s="773" t="s">
        <v>1043</v>
      </c>
      <c r="C11" s="773"/>
      <c r="D11" s="228">
        <f>IF(D9="","",D9-G11)</f>
      </c>
      <c r="E11" s="228"/>
      <c r="F11" s="228"/>
      <c r="G11" s="772"/>
      <c r="H11" s="772"/>
      <c r="I11" s="172" t="s">
        <v>282</v>
      </c>
      <c r="J11" s="172"/>
      <c r="K11" s="172"/>
      <c r="L11" s="172" t="s">
        <v>322</v>
      </c>
      <c r="M11" s="172"/>
      <c r="N11" s="172" t="s">
        <v>284</v>
      </c>
      <c r="O11" s="172"/>
      <c r="P11" s="172" t="s">
        <v>283</v>
      </c>
      <c r="Q11" s="172"/>
      <c r="R11" s="172" t="s">
        <v>278</v>
      </c>
      <c r="S11" s="172"/>
      <c r="T11" s="172"/>
      <c r="U11" s="77"/>
      <c r="V11" s="172"/>
      <c r="W11" s="172"/>
      <c r="X11" s="172"/>
      <c r="Y11" s="228"/>
      <c r="Z11" s="228"/>
      <c r="AA11" s="172"/>
      <c r="AB11" s="228"/>
      <c r="AC11" s="228"/>
      <c r="AD11" s="172"/>
      <c r="AE11" s="228"/>
      <c r="AF11" s="228"/>
      <c r="AG11" s="77"/>
      <c r="AH11" s="120"/>
      <c r="AI11" s="377" t="s">
        <v>68</v>
      </c>
      <c r="AJ11" s="377"/>
      <c r="AK11" s="377"/>
      <c r="AL11" s="677"/>
      <c r="AM11" s="678"/>
      <c r="AN11" s="678"/>
      <c r="AO11" s="678"/>
      <c r="AP11" s="678"/>
      <c r="AQ11" s="678"/>
      <c r="AR11" s="678"/>
      <c r="AS11" s="678"/>
      <c r="AT11" s="678"/>
      <c r="AU11" s="377" t="s">
        <v>66</v>
      </c>
      <c r="AV11" s="377"/>
      <c r="AW11" s="377"/>
      <c r="AX11" s="521"/>
      <c r="AY11" s="521"/>
      <c r="AZ11" s="521"/>
      <c r="BA11" s="521"/>
      <c r="BB11" s="377" t="s">
        <v>70</v>
      </c>
      <c r="BC11" s="377"/>
      <c r="BD11" s="377"/>
      <c r="BE11" s="521"/>
      <c r="BF11" s="521"/>
      <c r="BG11" s="521"/>
      <c r="BH11" s="521"/>
      <c r="BI11" s="77"/>
      <c r="BJ11" s="519"/>
      <c r="BK11" s="519"/>
      <c r="BL11" s="519"/>
      <c r="BM11" s="519"/>
      <c r="BN11" s="522"/>
      <c r="BO11" s="522"/>
      <c r="BQ11" s="523"/>
      <c r="BR11" s="530"/>
      <c r="BS11" s="531"/>
      <c r="BT11" s="534"/>
      <c r="BU11" s="534"/>
      <c r="BV11" s="535"/>
      <c r="BW11" s="119"/>
      <c r="BX11" s="77"/>
      <c r="BY11" s="172" t="s">
        <v>959</v>
      </c>
      <c r="BZ11" s="172"/>
      <c r="CA11" s="172"/>
      <c r="CB11" s="558"/>
      <c r="CC11" s="558"/>
      <c r="CD11" s="558"/>
      <c r="CE11" s="327" t="s">
        <v>963</v>
      </c>
      <c r="CF11" s="346"/>
      <c r="CG11" s="829"/>
      <c r="CH11" s="830"/>
      <c r="CI11" s="830"/>
      <c r="CJ11" s="831"/>
      <c r="CK11" s="77"/>
      <c r="CL11" s="857" t="s">
        <v>1165</v>
      </c>
      <c r="CM11" s="857"/>
      <c r="CN11" s="857"/>
      <c r="CO11" s="857"/>
      <c r="CP11" s="861"/>
      <c r="CQ11" s="860"/>
      <c r="CR11" s="77"/>
      <c r="CS11" s="857" t="s">
        <v>85</v>
      </c>
      <c r="CT11" s="857"/>
      <c r="CU11" s="857"/>
      <c r="CV11" s="857"/>
      <c r="CW11" s="861"/>
      <c r="CX11" s="860"/>
      <c r="CY11" s="119"/>
    </row>
    <row r="12" spans="1:103" ht="7.5" customHeight="1">
      <c r="A12" s="77"/>
      <c r="B12" s="773"/>
      <c r="C12" s="773"/>
      <c r="D12" s="228"/>
      <c r="E12" s="228"/>
      <c r="F12" s="228"/>
      <c r="G12" s="772"/>
      <c r="H12" s="7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77"/>
      <c r="V12" s="774">
        <f>IF(INDEX(Таблицы!AY518:AY555,Таблицы!Y520,1)="","",INDEX(Таблицы!AY518:AY555,Таблицы!Y520,1))</f>
      </c>
      <c r="W12" s="775"/>
      <c r="X12" s="775"/>
      <c r="Y12" s="775"/>
      <c r="Z12" s="775"/>
      <c r="AA12" s="775"/>
      <c r="AB12" s="775"/>
      <c r="AC12" s="775"/>
      <c r="AD12" s="775"/>
      <c r="AE12" s="775"/>
      <c r="AF12" s="776"/>
      <c r="AG12" s="77"/>
      <c r="AH12" s="120"/>
      <c r="AI12" s="377"/>
      <c r="AJ12" s="377"/>
      <c r="AK12" s="377"/>
      <c r="AL12" s="677"/>
      <c r="AM12" s="678"/>
      <c r="AN12" s="678"/>
      <c r="AO12" s="678"/>
      <c r="AP12" s="678"/>
      <c r="AQ12" s="678"/>
      <c r="AR12" s="678"/>
      <c r="AS12" s="678"/>
      <c r="AT12" s="678"/>
      <c r="AU12" s="377"/>
      <c r="AV12" s="377"/>
      <c r="AW12" s="377"/>
      <c r="AX12" s="521"/>
      <c r="AY12" s="521"/>
      <c r="AZ12" s="521"/>
      <c r="BA12" s="521"/>
      <c r="BB12" s="377"/>
      <c r="BC12" s="377"/>
      <c r="BD12" s="377"/>
      <c r="BE12" s="521"/>
      <c r="BF12" s="521"/>
      <c r="BG12" s="521"/>
      <c r="BH12" s="521"/>
      <c r="BI12" s="77"/>
      <c r="BJ12" s="519" t="s">
        <v>1184</v>
      </c>
      <c r="BK12" s="519"/>
      <c r="BL12" s="519"/>
      <c r="BM12" s="519"/>
      <c r="BN12" s="522"/>
      <c r="BO12" s="522"/>
      <c r="BQ12" s="523" t="s">
        <v>284</v>
      </c>
      <c r="BR12" s="530"/>
      <c r="BS12" s="531"/>
      <c r="BT12" s="532"/>
      <c r="BU12" s="532"/>
      <c r="BV12" s="533"/>
      <c r="BW12" s="119"/>
      <c r="BX12" s="77"/>
      <c r="BY12" s="172"/>
      <c r="BZ12" s="172"/>
      <c r="CA12" s="172"/>
      <c r="CB12" s="558"/>
      <c r="CC12" s="558"/>
      <c r="CD12" s="558"/>
      <c r="CE12" s="329"/>
      <c r="CF12" s="347"/>
      <c r="CG12" s="832"/>
      <c r="CH12" s="833"/>
      <c r="CI12" s="833"/>
      <c r="CJ12" s="834"/>
      <c r="CK12" s="77"/>
      <c r="CL12" s="857"/>
      <c r="CM12" s="857"/>
      <c r="CN12" s="857"/>
      <c r="CO12" s="857"/>
      <c r="CP12" s="860"/>
      <c r="CQ12" s="860"/>
      <c r="CR12" s="77"/>
      <c r="CS12" s="857"/>
      <c r="CT12" s="857"/>
      <c r="CU12" s="857"/>
      <c r="CV12" s="857"/>
      <c r="CW12" s="860"/>
      <c r="CX12" s="860"/>
      <c r="CY12" s="119"/>
    </row>
    <row r="13" spans="1:103" ht="7.5" customHeight="1">
      <c r="A13" s="77"/>
      <c r="B13" s="172" t="s">
        <v>961</v>
      </c>
      <c r="C13" s="172"/>
      <c r="D13" s="497">
        <f>IF(INDEX(Таблицы!AE518:AE555,Таблицы!Y520,1)="","",INDEX(Таблицы!AE518:AE555,Таблицы!Y520,1))</f>
      </c>
      <c r="E13" s="497"/>
      <c r="F13" s="497"/>
      <c r="G13" s="172" t="s">
        <v>962</v>
      </c>
      <c r="H13" s="172"/>
      <c r="I13" s="228">
        <f>IF(INDEX(Таблицы!AG518:AG555,Таблицы!Y520,1)="","",INDEX(Таблицы!AG518:AG555,Таблицы!Y520,1))</f>
      </c>
      <c r="J13" s="228"/>
      <c r="K13" s="228"/>
      <c r="L13" s="287">
        <f>IF(INDEX(Таблицы!AI518:AI555,Таблицы!Y520,1)="","",INDEX(Таблицы!AI518:AI555,Таблицы!Y520,1))</f>
      </c>
      <c r="M13" s="287"/>
      <c r="N13" s="287">
        <f>IF(INDEX(Таблицы!AK518:AK555,Таблицы!Y520,1)="","",INDEX(Таблицы!AK518:AK555,Таблицы!Y520,1))</f>
      </c>
      <c r="O13" s="287"/>
      <c r="P13" s="287">
        <f>IF(INDEX(Таблицы!AM518:AM555,Таблицы!Y520,1)="","",INDEX(Таблицы!AM518:AM555,Таблицы!Y520,1))</f>
      </c>
      <c r="Q13" s="287"/>
      <c r="R13" s="228">
        <f>IF(INDEX(Таблицы!AO518:AO555,Таблицы!Y520,1)="","",INDEX(Таблицы!AO518:AO555,Таблицы!Y520,1))</f>
      </c>
      <c r="S13" s="228"/>
      <c r="T13" s="228"/>
      <c r="U13" s="77"/>
      <c r="V13" s="777"/>
      <c r="W13" s="778"/>
      <c r="X13" s="778"/>
      <c r="Y13" s="778"/>
      <c r="Z13" s="778"/>
      <c r="AA13" s="778"/>
      <c r="AB13" s="778"/>
      <c r="AC13" s="778"/>
      <c r="AD13" s="778"/>
      <c r="AE13" s="778"/>
      <c r="AF13" s="779"/>
      <c r="AG13" s="77"/>
      <c r="AH13" s="120"/>
      <c r="AI13" s="377" t="s">
        <v>1173</v>
      </c>
      <c r="AJ13" s="377"/>
      <c r="AK13" s="377"/>
      <c r="AL13" s="377"/>
      <c r="AM13" s="676"/>
      <c r="AN13" s="676"/>
      <c r="AO13" s="676"/>
      <c r="AP13" s="676"/>
      <c r="AQ13" s="676"/>
      <c r="AR13" s="676"/>
      <c r="AS13" s="676"/>
      <c r="AT13" s="676"/>
      <c r="AU13" s="676"/>
      <c r="AV13" s="676"/>
      <c r="AW13" s="676"/>
      <c r="AX13" s="676"/>
      <c r="AY13" s="676"/>
      <c r="AZ13" s="676"/>
      <c r="BA13" s="676"/>
      <c r="BB13" s="676"/>
      <c r="BC13" s="676"/>
      <c r="BD13" s="676"/>
      <c r="BE13" s="676"/>
      <c r="BF13" s="676"/>
      <c r="BG13" s="676"/>
      <c r="BH13" s="676"/>
      <c r="BI13" s="77"/>
      <c r="BJ13" s="519"/>
      <c r="BK13" s="519"/>
      <c r="BL13" s="519"/>
      <c r="BM13" s="519"/>
      <c r="BN13" s="522"/>
      <c r="BO13" s="522"/>
      <c r="BQ13" s="523"/>
      <c r="BR13" s="530"/>
      <c r="BS13" s="531"/>
      <c r="BT13" s="534"/>
      <c r="BU13" s="534"/>
      <c r="BV13" s="535"/>
      <c r="BW13" s="119"/>
      <c r="BX13" s="77"/>
      <c r="BY13" s="327" t="s">
        <v>961</v>
      </c>
      <c r="BZ13" s="328"/>
      <c r="CA13" s="328"/>
      <c r="CB13" s="558"/>
      <c r="CC13" s="558"/>
      <c r="CD13" s="558"/>
      <c r="CE13" s="327" t="s">
        <v>964</v>
      </c>
      <c r="CF13" s="346"/>
      <c r="CG13" s="829"/>
      <c r="CH13" s="830"/>
      <c r="CI13" s="830"/>
      <c r="CJ13" s="831"/>
      <c r="CK13" s="77"/>
      <c r="CL13" s="857" t="s">
        <v>1166</v>
      </c>
      <c r="CM13" s="857"/>
      <c r="CN13" s="857"/>
      <c r="CO13" s="857"/>
      <c r="CP13" s="861"/>
      <c r="CQ13" s="860"/>
      <c r="CR13" s="77"/>
      <c r="CS13" s="857" t="s">
        <v>86</v>
      </c>
      <c r="CT13" s="857"/>
      <c r="CU13" s="857"/>
      <c r="CV13" s="857"/>
      <c r="CW13" s="861"/>
      <c r="CX13" s="860"/>
      <c r="CY13" s="119"/>
    </row>
    <row r="14" spans="1:103" ht="7.5" customHeight="1" thickBot="1">
      <c r="A14" s="77"/>
      <c r="B14" s="172"/>
      <c r="C14" s="172"/>
      <c r="D14" s="497"/>
      <c r="E14" s="497"/>
      <c r="F14" s="497"/>
      <c r="G14" s="172"/>
      <c r="H14" s="172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77"/>
      <c r="AG14" s="77"/>
      <c r="AH14" s="120"/>
      <c r="AI14" s="377"/>
      <c r="AJ14" s="377"/>
      <c r="AK14" s="377"/>
      <c r="AL14" s="377"/>
      <c r="AM14" s="676"/>
      <c r="AN14" s="676"/>
      <c r="AO14" s="676"/>
      <c r="AP14" s="676"/>
      <c r="AQ14" s="676"/>
      <c r="AR14" s="676"/>
      <c r="AS14" s="676"/>
      <c r="AT14" s="676"/>
      <c r="AU14" s="676"/>
      <c r="AV14" s="676"/>
      <c r="AW14" s="676"/>
      <c r="AX14" s="676"/>
      <c r="AY14" s="676"/>
      <c r="AZ14" s="676"/>
      <c r="BA14" s="676"/>
      <c r="BB14" s="676"/>
      <c r="BC14" s="676"/>
      <c r="BD14" s="676"/>
      <c r="BE14" s="676"/>
      <c r="BF14" s="676"/>
      <c r="BG14" s="676"/>
      <c r="BH14" s="676"/>
      <c r="BI14" s="77"/>
      <c r="BJ14" s="519" t="s">
        <v>1178</v>
      </c>
      <c r="BK14" s="519"/>
      <c r="BL14" s="519"/>
      <c r="BM14" s="519"/>
      <c r="BN14" s="522"/>
      <c r="BO14" s="522"/>
      <c r="BQ14" s="523" t="s">
        <v>283</v>
      </c>
      <c r="BR14" s="530"/>
      <c r="BS14" s="531"/>
      <c r="BT14" s="532"/>
      <c r="BU14" s="532"/>
      <c r="BV14" s="533"/>
      <c r="BW14" s="119"/>
      <c r="BX14" s="77"/>
      <c r="BY14" s="383"/>
      <c r="BZ14" s="384"/>
      <c r="CA14" s="384"/>
      <c r="CB14" s="558"/>
      <c r="CC14" s="558"/>
      <c r="CD14" s="558"/>
      <c r="CE14" s="329"/>
      <c r="CF14" s="347"/>
      <c r="CG14" s="832"/>
      <c r="CH14" s="833"/>
      <c r="CI14" s="833"/>
      <c r="CJ14" s="834"/>
      <c r="CK14" s="77"/>
      <c r="CL14" s="857"/>
      <c r="CM14" s="857"/>
      <c r="CN14" s="857"/>
      <c r="CO14" s="857"/>
      <c r="CP14" s="860"/>
      <c r="CQ14" s="860"/>
      <c r="CR14" s="77"/>
      <c r="CS14" s="857"/>
      <c r="CT14" s="857"/>
      <c r="CU14" s="857"/>
      <c r="CV14" s="857"/>
      <c r="CW14" s="860"/>
      <c r="CX14" s="860"/>
      <c r="CY14" s="119"/>
    </row>
    <row r="15" spans="1:103" ht="7.5" customHeight="1">
      <c r="A15" s="77"/>
      <c r="B15" s="377" t="s">
        <v>298</v>
      </c>
      <c r="C15" s="377"/>
      <c r="D15" s="228">
        <f>IF(INDEX(Таблицы!AF518:AF555,Таблицы!Y520,1)="","",INDEX(Таблицы!AF518:AF555,Таблицы!Y520,1))</f>
      </c>
      <c r="E15" s="228"/>
      <c r="F15" s="228"/>
      <c r="G15" s="172" t="s">
        <v>831</v>
      </c>
      <c r="H15" s="172"/>
      <c r="I15" s="497">
        <f>IF(INDEX(Таблицы!AH518:AH555,Таблицы!Y520,1)="","",INDEX(Таблицы!AH518:AH555,Таблицы!Y520,1))</f>
      </c>
      <c r="J15" s="497"/>
      <c r="K15" s="497"/>
      <c r="L15" s="758">
        <f>IF(INDEX(Таблицы!AJ518:AJ555,Таблицы!Y520,1)="","",INDEX(Таблицы!AJ518:AJ555,Таблицы!Y520,1))</f>
      </c>
      <c r="M15" s="758"/>
      <c r="N15" s="758">
        <f>IF(INDEX(Таблицы!AL518:AL555,Таблицы!Y520,1)="","",INDEX(Таблицы!AL518:AL555,Таблицы!Y520,1))</f>
      </c>
      <c r="O15" s="758"/>
      <c r="P15" s="758">
        <f>IF(INDEX(Таблицы!AN518:AN555,Таблицы!Y520,1)="","",INDEX(Таблицы!AN518:AN555,Таблицы!Y520,1))</f>
      </c>
      <c r="Q15" s="758"/>
      <c r="R15" s="497">
        <f>IF(INDEX(Таблицы!AP518:AP555,Таблицы!Y520,1)="","",INDEX(Таблицы!AP518:AP555,Таблицы!Y520,1))</f>
      </c>
      <c r="S15" s="497"/>
      <c r="T15" s="497"/>
      <c r="U15" s="77"/>
      <c r="V15" s="569" t="s">
        <v>1119</v>
      </c>
      <c r="W15" s="570"/>
      <c r="X15" s="570"/>
      <c r="Y15" s="570"/>
      <c r="Z15" s="571"/>
      <c r="AA15" s="722">
        <f>IF(INDEX(Таблицы!AZ518:AZ555,Таблицы!Y520,1)="","",INDEX(Таблицы!AZ518:AZ555,Таблицы!Y520,1))</f>
      </c>
      <c r="AB15" s="723"/>
      <c r="AC15" s="723"/>
      <c r="AD15" s="723"/>
      <c r="AE15" s="723"/>
      <c r="AF15" s="723"/>
      <c r="AG15" s="77"/>
      <c r="AH15" s="120"/>
      <c r="AI15" s="675"/>
      <c r="AJ15" s="675"/>
      <c r="AK15" s="675"/>
      <c r="AL15" s="675"/>
      <c r="AM15" s="675"/>
      <c r="AN15" s="675"/>
      <c r="AO15" s="675"/>
      <c r="AP15" s="675"/>
      <c r="AQ15" s="675"/>
      <c r="AR15" s="675"/>
      <c r="AS15" s="675"/>
      <c r="AT15" s="675"/>
      <c r="AU15" s="675"/>
      <c r="AV15" s="675"/>
      <c r="AW15" s="675"/>
      <c r="AX15" s="675"/>
      <c r="AY15" s="675"/>
      <c r="AZ15" s="675"/>
      <c r="BA15" s="675"/>
      <c r="BB15" s="675"/>
      <c r="BC15" s="675"/>
      <c r="BD15" s="675"/>
      <c r="BE15" s="675"/>
      <c r="BF15" s="675"/>
      <c r="BG15" s="675"/>
      <c r="BH15" s="675"/>
      <c r="BI15" s="77"/>
      <c r="BJ15" s="519"/>
      <c r="BK15" s="519"/>
      <c r="BL15" s="519"/>
      <c r="BM15" s="519"/>
      <c r="BN15" s="522"/>
      <c r="BO15" s="522"/>
      <c r="BQ15" s="523"/>
      <c r="BR15" s="530"/>
      <c r="BS15" s="531"/>
      <c r="BT15" s="534"/>
      <c r="BU15" s="534"/>
      <c r="BV15" s="535"/>
      <c r="BW15" s="119"/>
      <c r="BX15" s="77"/>
      <c r="BY15" s="377" t="s">
        <v>298</v>
      </c>
      <c r="BZ15" s="377"/>
      <c r="CA15" s="377"/>
      <c r="CB15" s="558"/>
      <c r="CC15" s="558"/>
      <c r="CD15" s="558"/>
      <c r="CE15" s="645" t="s">
        <v>965</v>
      </c>
      <c r="CF15" s="645"/>
      <c r="CG15" s="536"/>
      <c r="CH15" s="536"/>
      <c r="CI15" s="536"/>
      <c r="CJ15" s="536"/>
      <c r="CK15" s="77"/>
      <c r="CL15" s="857" t="s">
        <v>1167</v>
      </c>
      <c r="CM15" s="857"/>
      <c r="CN15" s="857"/>
      <c r="CO15" s="857"/>
      <c r="CP15" s="861"/>
      <c r="CQ15" s="860"/>
      <c r="CR15" s="77"/>
      <c r="CS15" s="857" t="s">
        <v>1169</v>
      </c>
      <c r="CT15" s="857"/>
      <c r="CU15" s="857"/>
      <c r="CV15" s="857"/>
      <c r="CW15" s="861"/>
      <c r="CX15" s="860"/>
      <c r="CY15" s="119"/>
    </row>
    <row r="16" spans="1:103" ht="7.5" customHeight="1" thickBot="1">
      <c r="A16" s="77"/>
      <c r="B16" s="377"/>
      <c r="C16" s="377"/>
      <c r="D16" s="228"/>
      <c r="E16" s="228"/>
      <c r="F16" s="228"/>
      <c r="G16" s="172"/>
      <c r="H16" s="172"/>
      <c r="I16" s="497"/>
      <c r="J16" s="497"/>
      <c r="K16" s="497"/>
      <c r="L16" s="497"/>
      <c r="M16" s="497"/>
      <c r="N16" s="759"/>
      <c r="O16" s="759"/>
      <c r="P16" s="759"/>
      <c r="Q16" s="497"/>
      <c r="R16" s="497"/>
      <c r="S16" s="497"/>
      <c r="T16" s="497"/>
      <c r="U16" s="77"/>
      <c r="V16" s="572"/>
      <c r="W16" s="573"/>
      <c r="X16" s="573"/>
      <c r="Y16" s="573"/>
      <c r="Z16" s="574"/>
      <c r="AA16" s="722"/>
      <c r="AB16" s="723"/>
      <c r="AC16" s="723"/>
      <c r="AD16" s="723"/>
      <c r="AE16" s="723"/>
      <c r="AF16" s="723"/>
      <c r="AG16" s="77"/>
      <c r="AH16" s="120"/>
      <c r="AI16" s="675"/>
      <c r="AJ16" s="675"/>
      <c r="AK16" s="675"/>
      <c r="AL16" s="675"/>
      <c r="AM16" s="675"/>
      <c r="AN16" s="675"/>
      <c r="AO16" s="675"/>
      <c r="AP16" s="675"/>
      <c r="AQ16" s="675"/>
      <c r="AR16" s="675"/>
      <c r="AS16" s="675"/>
      <c r="AT16" s="675"/>
      <c r="AU16" s="675"/>
      <c r="AV16" s="675"/>
      <c r="AW16" s="675"/>
      <c r="AX16" s="675"/>
      <c r="AY16" s="675"/>
      <c r="AZ16" s="675"/>
      <c r="BA16" s="675"/>
      <c r="BB16" s="675"/>
      <c r="BC16" s="675"/>
      <c r="BD16" s="675"/>
      <c r="BE16" s="675"/>
      <c r="BF16" s="675"/>
      <c r="BG16" s="675"/>
      <c r="BH16" s="675"/>
      <c r="BI16" s="77"/>
      <c r="BJ16" s="519" t="s">
        <v>1179</v>
      </c>
      <c r="BK16" s="519"/>
      <c r="BL16" s="519"/>
      <c r="BM16" s="519"/>
      <c r="BN16" s="522"/>
      <c r="BO16" s="522"/>
      <c r="BQ16" s="523" t="s">
        <v>278</v>
      </c>
      <c r="BR16" s="530"/>
      <c r="BS16" s="531"/>
      <c r="BT16" s="532"/>
      <c r="BU16" s="532"/>
      <c r="BV16" s="533"/>
      <c r="BW16" s="119"/>
      <c r="BX16" s="77"/>
      <c r="BY16" s="377"/>
      <c r="BZ16" s="377"/>
      <c r="CA16" s="377"/>
      <c r="CB16" s="558"/>
      <c r="CC16" s="558"/>
      <c r="CD16" s="558"/>
      <c r="CE16" s="645"/>
      <c r="CF16" s="645"/>
      <c r="CG16" s="536"/>
      <c r="CH16" s="536"/>
      <c r="CI16" s="536"/>
      <c r="CJ16" s="536"/>
      <c r="CK16" s="77"/>
      <c r="CL16" s="857"/>
      <c r="CM16" s="857"/>
      <c r="CN16" s="857"/>
      <c r="CO16" s="857"/>
      <c r="CP16" s="860"/>
      <c r="CQ16" s="860"/>
      <c r="CR16" s="77"/>
      <c r="CS16" s="857"/>
      <c r="CT16" s="857"/>
      <c r="CU16" s="857"/>
      <c r="CV16" s="857"/>
      <c r="CW16" s="860"/>
      <c r="CX16" s="860"/>
      <c r="CY16" s="119"/>
    </row>
    <row r="17" spans="1:103" ht="7.5" customHeight="1">
      <c r="A17" s="77"/>
      <c r="B17" s="172" t="s">
        <v>963</v>
      </c>
      <c r="C17" s="172"/>
      <c r="D17" s="497">
        <f>IF(INDEX(Таблицы!AQ518:AQ555,Таблицы!Y520,1)="","",INDEX(Таблицы!AQ518:AQ555,Таблицы!Y520,1))</f>
      </c>
      <c r="E17" s="497"/>
      <c r="F17" s="497"/>
      <c r="G17" s="172" t="s">
        <v>964</v>
      </c>
      <c r="H17" s="172"/>
      <c r="I17" s="497">
        <f>IF(INDEX(Таблицы!AR518:AR555,Таблицы!Y520,1)="","",INDEX(Таблицы!AR518:AR555,Таблицы!Y520,1))</f>
      </c>
      <c r="J17" s="497"/>
      <c r="K17" s="497"/>
      <c r="L17" s="766" t="s">
        <v>965</v>
      </c>
      <c r="M17" s="767"/>
      <c r="N17" s="768">
        <f>IF(INDEX(Таблицы!AS518:AS555,Таблицы!Y520,1)="","",INDEX(Таблицы!AS518:AS555,Таблицы!Y520,1))</f>
      </c>
      <c r="O17" s="769"/>
      <c r="P17" s="769"/>
      <c r="Q17" s="724" t="s">
        <v>966</v>
      </c>
      <c r="R17" s="497">
        <f>IF(INDEX(Таблицы!AT518:AT555,Таблицы!Y520,1)="","",INDEX(Таблицы!AT518:AT555,Таблицы!Y520,1))</f>
      </c>
      <c r="S17" s="497"/>
      <c r="T17" s="497"/>
      <c r="U17" s="77"/>
      <c r="V17" s="286" t="s">
        <v>1088</v>
      </c>
      <c r="W17" s="286"/>
      <c r="X17" s="497">
        <f>IF(INDEX(Таблицы!BA518:BA555,Таблицы!Y520,1)="","",INDEX(Таблицы!BA518:BA555,Таблицы!Y520,1))</f>
      </c>
      <c r="Y17" s="497"/>
      <c r="Z17" s="497"/>
      <c r="AA17" s="286" t="s">
        <v>279</v>
      </c>
      <c r="AB17" s="286"/>
      <c r="AC17" s="725">
        <f>IF(INDEX(Таблицы!BC518:BC555,Таблицы!Y520,1)="","",INDEX(Таблицы!BC518:BC555,Таблицы!Y520,1))</f>
      </c>
      <c r="AD17" s="726"/>
      <c r="AE17" s="726"/>
      <c r="AF17" s="727"/>
      <c r="AG17" s="77"/>
      <c r="AH17" s="120"/>
      <c r="AI17" s="77"/>
      <c r="AJ17" s="77"/>
      <c r="AK17" s="77"/>
      <c r="AL17" s="77"/>
      <c r="AM17" s="77"/>
      <c r="AN17" s="48"/>
      <c r="AO17" s="48"/>
      <c r="AP17" s="77"/>
      <c r="AQ17" s="77"/>
      <c r="AW17" s="130"/>
      <c r="AX17" s="77"/>
      <c r="AY17" s="77"/>
      <c r="AZ17" s="77"/>
      <c r="BA17" s="77"/>
      <c r="BB17" s="77"/>
      <c r="BC17" s="77"/>
      <c r="BI17" s="77"/>
      <c r="BJ17" s="519"/>
      <c r="BK17" s="519"/>
      <c r="BL17" s="519"/>
      <c r="BM17" s="519"/>
      <c r="BN17" s="522"/>
      <c r="BO17" s="522"/>
      <c r="BQ17" s="523"/>
      <c r="BR17" s="530"/>
      <c r="BS17" s="531"/>
      <c r="BT17" s="534"/>
      <c r="BU17" s="534"/>
      <c r="BV17" s="535"/>
      <c r="BW17" s="119"/>
      <c r="BX17" s="77"/>
      <c r="BY17" s="77"/>
      <c r="BZ17" s="77"/>
      <c r="CA17" s="645" t="s">
        <v>282</v>
      </c>
      <c r="CB17" s="645"/>
      <c r="CC17" s="645" t="s">
        <v>322</v>
      </c>
      <c r="CD17" s="645"/>
      <c r="CE17" s="645" t="s">
        <v>284</v>
      </c>
      <c r="CF17" s="645"/>
      <c r="CG17" s="645" t="s">
        <v>283</v>
      </c>
      <c r="CH17" s="645"/>
      <c r="CI17" s="645" t="s">
        <v>278</v>
      </c>
      <c r="CJ17" s="645"/>
      <c r="CK17" s="77"/>
      <c r="CL17" s="857" t="s">
        <v>1168</v>
      </c>
      <c r="CM17" s="857"/>
      <c r="CN17" s="857"/>
      <c r="CO17" s="857"/>
      <c r="CP17" s="861"/>
      <c r="CQ17" s="860"/>
      <c r="CR17" s="77"/>
      <c r="CS17" s="857" t="s">
        <v>88</v>
      </c>
      <c r="CT17" s="857"/>
      <c r="CU17" s="857"/>
      <c r="CV17" s="857"/>
      <c r="CW17" s="861"/>
      <c r="CX17" s="860"/>
      <c r="CY17" s="119"/>
    </row>
    <row r="18" spans="1:103" ht="7.5" customHeight="1">
      <c r="A18" s="77"/>
      <c r="B18" s="172"/>
      <c r="C18" s="172"/>
      <c r="D18" s="497"/>
      <c r="E18" s="497"/>
      <c r="F18" s="497"/>
      <c r="G18" s="172"/>
      <c r="H18" s="172"/>
      <c r="I18" s="497"/>
      <c r="J18" s="497"/>
      <c r="K18" s="497"/>
      <c r="L18" s="766"/>
      <c r="M18" s="767"/>
      <c r="N18" s="770"/>
      <c r="O18" s="771"/>
      <c r="P18" s="771"/>
      <c r="Q18" s="724"/>
      <c r="R18" s="497"/>
      <c r="S18" s="497"/>
      <c r="T18" s="497"/>
      <c r="U18" s="77"/>
      <c r="V18" s="172"/>
      <c r="W18" s="172"/>
      <c r="X18" s="497"/>
      <c r="Y18" s="497"/>
      <c r="Z18" s="497"/>
      <c r="AA18" s="172"/>
      <c r="AB18" s="172"/>
      <c r="AC18" s="728"/>
      <c r="AD18" s="729"/>
      <c r="AE18" s="729"/>
      <c r="AF18" s="730"/>
      <c r="AG18" s="77"/>
      <c r="AH18" s="120"/>
      <c r="AI18" s="538" t="s">
        <v>94</v>
      </c>
      <c r="AJ18" s="538"/>
      <c r="AK18" s="538" t="s">
        <v>95</v>
      </c>
      <c r="AL18" s="538"/>
      <c r="AM18" s="538"/>
      <c r="AN18" s="538" t="s">
        <v>74</v>
      </c>
      <c r="AO18" s="538"/>
      <c r="AP18" s="538"/>
      <c r="AQ18" s="155"/>
      <c r="BW18" s="119"/>
      <c r="BX18" s="77"/>
      <c r="BY18" s="77"/>
      <c r="BZ18" s="77"/>
      <c r="CA18" s="645"/>
      <c r="CB18" s="645"/>
      <c r="CC18" s="645"/>
      <c r="CD18" s="645"/>
      <c r="CE18" s="645"/>
      <c r="CF18" s="645"/>
      <c r="CG18" s="645"/>
      <c r="CH18" s="645"/>
      <c r="CI18" s="645"/>
      <c r="CJ18" s="645"/>
      <c r="CK18" s="77"/>
      <c r="CL18" s="857"/>
      <c r="CM18" s="857"/>
      <c r="CN18" s="857"/>
      <c r="CO18" s="857"/>
      <c r="CP18" s="860"/>
      <c r="CQ18" s="860"/>
      <c r="CR18" s="77"/>
      <c r="CS18" s="857"/>
      <c r="CT18" s="857"/>
      <c r="CU18" s="857"/>
      <c r="CV18" s="857"/>
      <c r="CW18" s="860"/>
      <c r="CX18" s="860"/>
      <c r="CY18" s="119"/>
    </row>
    <row r="19" spans="1:103" ht="7.5" customHeight="1" thickBot="1">
      <c r="A19" s="77"/>
      <c r="B19" s="48"/>
      <c r="C19" s="48"/>
      <c r="D19" s="130"/>
      <c r="E19" s="130"/>
      <c r="F19" s="130"/>
      <c r="G19" s="48"/>
      <c r="H19" s="48"/>
      <c r="I19" s="130"/>
      <c r="J19" s="130"/>
      <c r="K19" s="130"/>
      <c r="L19" s="131"/>
      <c r="M19" s="131"/>
      <c r="N19" s="132"/>
      <c r="O19" s="132"/>
      <c r="P19" s="132"/>
      <c r="Q19" s="133"/>
      <c r="R19" s="130"/>
      <c r="S19" s="130"/>
      <c r="T19" s="130"/>
      <c r="U19" s="77"/>
      <c r="V19" s="172" t="s">
        <v>281</v>
      </c>
      <c r="W19" s="172"/>
      <c r="X19" s="172" t="s">
        <v>282</v>
      </c>
      <c r="Y19" s="228">
        <f>IF(INDEX(Таблицы!BB518:BB555,Таблицы!Y520,1)="","",INDEX(Таблицы!BB518:BB555,Таблицы!Y520,1))</f>
      </c>
      <c r="Z19" s="228"/>
      <c r="AA19" s="172" t="s">
        <v>283</v>
      </c>
      <c r="AB19" s="228">
        <f>IF(INDEX(Таблицы!BG518:BG555,Таблицы!Y520,1)="","",INDEX(Таблицы!BG518:BG555,Таблицы!Y520,1))</f>
      </c>
      <c r="AC19" s="228"/>
      <c r="AD19" s="172" t="s">
        <v>284</v>
      </c>
      <c r="AE19" s="228">
        <f>IF(INDEX(Таблицы!BH518:BH555,Таблицы!Y520,1)="","",INDEX(Таблицы!BH518:BH555,Таблицы!Y520,1))</f>
      </c>
      <c r="AF19" s="228"/>
      <c r="AG19" s="77"/>
      <c r="AH19" s="120"/>
      <c r="AI19" s="538"/>
      <c r="AJ19" s="538"/>
      <c r="AK19" s="538"/>
      <c r="AL19" s="538"/>
      <c r="AM19" s="538"/>
      <c r="AN19" s="538"/>
      <c r="AO19" s="538"/>
      <c r="AP19" s="538"/>
      <c r="AQ19" s="155"/>
      <c r="AW19" s="671" t="s">
        <v>1181</v>
      </c>
      <c r="AX19" s="672"/>
      <c r="AY19" s="524"/>
      <c r="AZ19" s="525"/>
      <c r="BA19" s="526"/>
      <c r="BC19" s="671" t="s">
        <v>1182</v>
      </c>
      <c r="BD19" s="672"/>
      <c r="BE19" s="524"/>
      <c r="BF19" s="525"/>
      <c r="BG19" s="526"/>
      <c r="BI19" s="671" t="s">
        <v>1180</v>
      </c>
      <c r="BJ19" s="672"/>
      <c r="BK19" s="158"/>
      <c r="BL19" s="524"/>
      <c r="BM19" s="525"/>
      <c r="BN19" s="526"/>
      <c r="BP19" s="671" t="s">
        <v>1183</v>
      </c>
      <c r="BQ19" s="672"/>
      <c r="BR19" s="586"/>
      <c r="BS19" s="587"/>
      <c r="BT19" s="587"/>
      <c r="BU19" s="587"/>
      <c r="BV19" s="588"/>
      <c r="BW19" s="119"/>
      <c r="BX19" s="77"/>
      <c r="BY19" s="645" t="s">
        <v>962</v>
      </c>
      <c r="BZ19" s="645"/>
      <c r="CA19" s="558"/>
      <c r="CB19" s="558"/>
      <c r="CC19" s="558"/>
      <c r="CD19" s="558"/>
      <c r="CE19" s="558"/>
      <c r="CF19" s="558"/>
      <c r="CG19" s="558"/>
      <c r="CH19" s="558"/>
      <c r="CI19" s="558"/>
      <c r="CJ19" s="558"/>
      <c r="CK19" s="77"/>
      <c r="CL19" s="857" t="s">
        <v>1172</v>
      </c>
      <c r="CM19" s="857"/>
      <c r="CN19" s="857"/>
      <c r="CO19" s="857"/>
      <c r="CP19" s="861"/>
      <c r="CQ19" s="860"/>
      <c r="CR19" s="77"/>
      <c r="CS19" s="857" t="s">
        <v>89</v>
      </c>
      <c r="CT19" s="857"/>
      <c r="CU19" s="857"/>
      <c r="CV19" s="857"/>
      <c r="CW19" s="861"/>
      <c r="CX19" s="860"/>
      <c r="CY19" s="119"/>
    </row>
    <row r="20" spans="1:103" ht="7.5" customHeight="1" thickBot="1">
      <c r="A20" s="77"/>
      <c r="B20" s="48"/>
      <c r="C20" s="48"/>
      <c r="D20" s="130"/>
      <c r="E20" s="130"/>
      <c r="F20" s="130"/>
      <c r="G20" s="48"/>
      <c r="H20" s="48"/>
      <c r="T20" s="130"/>
      <c r="U20" s="77"/>
      <c r="V20" s="172"/>
      <c r="W20" s="172"/>
      <c r="X20" s="172"/>
      <c r="Y20" s="228"/>
      <c r="Z20" s="228"/>
      <c r="AA20" s="172"/>
      <c r="AB20" s="228"/>
      <c r="AC20" s="228"/>
      <c r="AD20" s="172"/>
      <c r="AE20" s="228"/>
      <c r="AF20" s="228"/>
      <c r="AG20" s="77"/>
      <c r="AH20" s="120"/>
      <c r="AI20" s="172" t="s">
        <v>258</v>
      </c>
      <c r="AJ20" s="172"/>
      <c r="AK20" s="536"/>
      <c r="AL20" s="536"/>
      <c r="AM20" s="536"/>
      <c r="AN20" s="537"/>
      <c r="AO20" s="537"/>
      <c r="AP20" s="537"/>
      <c r="AQ20" s="156"/>
      <c r="AR20" s="506" t="s">
        <v>96</v>
      </c>
      <c r="AS20" s="507"/>
      <c r="AT20" s="507"/>
      <c r="AU20" s="508"/>
      <c r="AV20" s="157"/>
      <c r="AW20" s="673"/>
      <c r="AX20" s="674"/>
      <c r="AY20" s="527"/>
      <c r="AZ20" s="528"/>
      <c r="BA20" s="529"/>
      <c r="BC20" s="673"/>
      <c r="BD20" s="674"/>
      <c r="BE20" s="527"/>
      <c r="BF20" s="528"/>
      <c r="BG20" s="529"/>
      <c r="BI20" s="673"/>
      <c r="BJ20" s="674"/>
      <c r="BK20" s="159"/>
      <c r="BL20" s="527"/>
      <c r="BM20" s="528"/>
      <c r="BN20" s="529"/>
      <c r="BP20" s="673"/>
      <c r="BQ20" s="674"/>
      <c r="BR20" s="589"/>
      <c r="BS20" s="590"/>
      <c r="BT20" s="590"/>
      <c r="BU20" s="590"/>
      <c r="BV20" s="591"/>
      <c r="BW20" s="119"/>
      <c r="BX20" s="77"/>
      <c r="BY20" s="645"/>
      <c r="BZ20" s="645"/>
      <c r="CA20" s="558"/>
      <c r="CB20" s="558"/>
      <c r="CC20" s="558"/>
      <c r="CD20" s="558"/>
      <c r="CE20" s="558"/>
      <c r="CF20" s="558"/>
      <c r="CG20" s="558"/>
      <c r="CH20" s="558"/>
      <c r="CI20" s="558"/>
      <c r="CJ20" s="558"/>
      <c r="CK20" s="77"/>
      <c r="CL20" s="857"/>
      <c r="CM20" s="857"/>
      <c r="CN20" s="857"/>
      <c r="CO20" s="857"/>
      <c r="CP20" s="860"/>
      <c r="CQ20" s="860"/>
      <c r="CR20" s="77"/>
      <c r="CS20" s="857"/>
      <c r="CT20" s="857"/>
      <c r="CU20" s="857"/>
      <c r="CV20" s="857"/>
      <c r="CW20" s="860"/>
      <c r="CX20" s="860"/>
      <c r="CY20" s="119"/>
    </row>
    <row r="21" spans="1:103" ht="7.5" customHeight="1" thickBot="1">
      <c r="A21" s="77"/>
      <c r="B21" s="787" t="s">
        <v>1126</v>
      </c>
      <c r="C21" s="788"/>
      <c r="D21" s="788"/>
      <c r="E21" s="788"/>
      <c r="F21" s="788"/>
      <c r="G21" s="788"/>
      <c r="H21" s="788"/>
      <c r="I21" s="788"/>
      <c r="J21" s="788"/>
      <c r="K21" s="788"/>
      <c r="L21" s="788"/>
      <c r="M21" s="788"/>
      <c r="N21" s="788"/>
      <c r="O21" s="139"/>
      <c r="P21" s="781">
        <v>1</v>
      </c>
      <c r="Q21" s="782"/>
      <c r="R21" s="107"/>
      <c r="S21" s="782">
        <v>2</v>
      </c>
      <c r="T21" s="785"/>
      <c r="U21" s="77"/>
      <c r="V21" s="780">
        <f>IF(INDEX(Таблицы!BD518:BD555,Таблицы!Y520,1)="","",INDEX(Таблицы!BD518:BD555,Таблицы!Y520,1))</f>
      </c>
      <c r="W21" s="780"/>
      <c r="X21" s="780"/>
      <c r="Y21" s="780"/>
      <c r="Z21" s="780"/>
      <c r="AA21" s="780"/>
      <c r="AB21" s="780"/>
      <c r="AC21" s="780"/>
      <c r="AD21" s="780"/>
      <c r="AE21" s="780"/>
      <c r="AF21" s="780"/>
      <c r="AG21" s="77"/>
      <c r="AH21" s="120"/>
      <c r="AI21" s="172"/>
      <c r="AJ21" s="172"/>
      <c r="AK21" s="536"/>
      <c r="AL21" s="536"/>
      <c r="AM21" s="536"/>
      <c r="AN21" s="537"/>
      <c r="AO21" s="537"/>
      <c r="AP21" s="537"/>
      <c r="AQ21" s="156"/>
      <c r="AR21" s="512"/>
      <c r="AS21" s="513"/>
      <c r="AT21" s="513"/>
      <c r="AU21" s="514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P21" s="157"/>
      <c r="BT21" s="160"/>
      <c r="BU21" s="161"/>
      <c r="BV21" s="161"/>
      <c r="BW21" s="119"/>
      <c r="BX21" s="77"/>
      <c r="BY21" s="645" t="s">
        <v>831</v>
      </c>
      <c r="BZ21" s="645"/>
      <c r="CA21" s="620"/>
      <c r="CB21" s="620"/>
      <c r="CC21" s="620"/>
      <c r="CD21" s="620"/>
      <c r="CE21" s="620"/>
      <c r="CF21" s="620"/>
      <c r="CG21" s="620"/>
      <c r="CH21" s="620"/>
      <c r="CI21" s="620"/>
      <c r="CJ21" s="620"/>
      <c r="CK21" s="77"/>
      <c r="CL21" s="857" t="s">
        <v>80</v>
      </c>
      <c r="CM21" s="857"/>
      <c r="CN21" s="857"/>
      <c r="CO21" s="857"/>
      <c r="CP21" s="861"/>
      <c r="CQ21" s="860"/>
      <c r="CR21" s="77"/>
      <c r="CS21" s="857" t="s">
        <v>90</v>
      </c>
      <c r="CT21" s="857"/>
      <c r="CU21" s="857"/>
      <c r="CV21" s="857"/>
      <c r="CW21" s="861"/>
      <c r="CX21" s="860"/>
      <c r="CY21" s="119"/>
    </row>
    <row r="22" spans="1:103" ht="7.5" customHeight="1" thickBot="1">
      <c r="A22" s="77"/>
      <c r="B22" s="789"/>
      <c r="C22" s="790"/>
      <c r="D22" s="790"/>
      <c r="E22" s="790"/>
      <c r="F22" s="790"/>
      <c r="G22" s="790"/>
      <c r="H22" s="790"/>
      <c r="I22" s="790"/>
      <c r="J22" s="790"/>
      <c r="K22" s="790"/>
      <c r="L22" s="790"/>
      <c r="M22" s="790"/>
      <c r="N22" s="790"/>
      <c r="O22" s="140"/>
      <c r="P22" s="783"/>
      <c r="Q22" s="784"/>
      <c r="R22" s="118"/>
      <c r="S22" s="784"/>
      <c r="T22" s="786"/>
      <c r="U22" s="77"/>
      <c r="V22" s="780"/>
      <c r="W22" s="780"/>
      <c r="X22" s="780"/>
      <c r="Y22" s="780"/>
      <c r="Z22" s="780"/>
      <c r="AA22" s="780"/>
      <c r="AB22" s="780"/>
      <c r="AC22" s="780"/>
      <c r="AD22" s="780"/>
      <c r="AE22" s="780"/>
      <c r="AF22" s="780"/>
      <c r="AG22" s="77"/>
      <c r="AH22" s="120"/>
      <c r="AI22" s="172" t="s">
        <v>115</v>
      </c>
      <c r="AJ22" s="172"/>
      <c r="AK22" s="536"/>
      <c r="AL22" s="536"/>
      <c r="AM22" s="536"/>
      <c r="AN22" s="537"/>
      <c r="AO22" s="537"/>
      <c r="AP22" s="537"/>
      <c r="AQ22" s="156"/>
      <c r="AR22" s="520"/>
      <c r="AS22" s="520"/>
      <c r="AT22" s="520"/>
      <c r="AU22" s="520"/>
      <c r="AV22" s="521"/>
      <c r="AW22" s="521"/>
      <c r="AX22" s="521"/>
      <c r="AY22" s="521"/>
      <c r="AZ22" s="521"/>
      <c r="BA22" s="521"/>
      <c r="BB22" s="521"/>
      <c r="BC22" s="521"/>
      <c r="BD22" s="521"/>
      <c r="BE22" s="521"/>
      <c r="BF22" s="521"/>
      <c r="BG22" s="521"/>
      <c r="BH22" s="521"/>
      <c r="BI22" s="521"/>
      <c r="BJ22" s="521"/>
      <c r="BK22" s="521"/>
      <c r="BL22" s="521"/>
      <c r="BM22" s="521"/>
      <c r="BN22" s="521"/>
      <c r="BO22" s="521"/>
      <c r="BP22" s="521"/>
      <c r="BQ22" s="521"/>
      <c r="BR22" s="521"/>
      <c r="BS22" s="521"/>
      <c r="BT22" s="521"/>
      <c r="BU22" s="521"/>
      <c r="BV22" s="521"/>
      <c r="BW22" s="119"/>
      <c r="BX22" s="77"/>
      <c r="BY22" s="645"/>
      <c r="BZ22" s="645"/>
      <c r="CA22" s="620"/>
      <c r="CB22" s="620"/>
      <c r="CC22" s="620"/>
      <c r="CD22" s="620"/>
      <c r="CE22" s="620"/>
      <c r="CF22" s="620"/>
      <c r="CG22" s="620"/>
      <c r="CH22" s="620"/>
      <c r="CI22" s="620"/>
      <c r="CJ22" s="620"/>
      <c r="CK22" s="13"/>
      <c r="CL22" s="857"/>
      <c r="CM22" s="857"/>
      <c r="CN22" s="857"/>
      <c r="CO22" s="857"/>
      <c r="CP22" s="860"/>
      <c r="CQ22" s="860"/>
      <c r="CR22" s="77"/>
      <c r="CS22" s="857"/>
      <c r="CT22" s="857"/>
      <c r="CU22" s="857"/>
      <c r="CV22" s="857"/>
      <c r="CW22" s="860"/>
      <c r="CX22" s="860"/>
      <c r="CY22" s="119"/>
    </row>
    <row r="23" spans="1:103" ht="7.5" customHeight="1">
      <c r="A23" s="77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77"/>
      <c r="P23" s="134"/>
      <c r="Q23" s="134"/>
      <c r="R23" s="77"/>
      <c r="S23" s="134"/>
      <c r="T23" s="134"/>
      <c r="U23" s="77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77"/>
      <c r="AH23" s="120"/>
      <c r="AI23" s="172"/>
      <c r="AJ23" s="172"/>
      <c r="AK23" s="536"/>
      <c r="AL23" s="536"/>
      <c r="AM23" s="536"/>
      <c r="AN23" s="537"/>
      <c r="AO23" s="537"/>
      <c r="AP23" s="537"/>
      <c r="AQ23" s="156"/>
      <c r="AR23" s="521"/>
      <c r="AS23" s="521"/>
      <c r="AT23" s="521"/>
      <c r="AU23" s="521"/>
      <c r="AV23" s="521"/>
      <c r="AW23" s="521"/>
      <c r="AX23" s="521"/>
      <c r="AY23" s="521"/>
      <c r="AZ23" s="521"/>
      <c r="BA23" s="521"/>
      <c r="BB23" s="521"/>
      <c r="BC23" s="521"/>
      <c r="BD23" s="521"/>
      <c r="BE23" s="521"/>
      <c r="BF23" s="521"/>
      <c r="BG23" s="521"/>
      <c r="BH23" s="521"/>
      <c r="BI23" s="521"/>
      <c r="BJ23" s="521"/>
      <c r="BK23" s="521"/>
      <c r="BL23" s="521"/>
      <c r="BM23" s="521"/>
      <c r="BN23" s="521"/>
      <c r="BO23" s="521"/>
      <c r="BP23" s="521"/>
      <c r="BQ23" s="521"/>
      <c r="BR23" s="521"/>
      <c r="BS23" s="521"/>
      <c r="BT23" s="521"/>
      <c r="BU23" s="521"/>
      <c r="BV23" s="521"/>
      <c r="BW23" s="119"/>
      <c r="BX23" s="77"/>
      <c r="BY23" s="510" t="s">
        <v>97</v>
      </c>
      <c r="BZ23" s="510"/>
      <c r="CA23" s="510"/>
      <c r="CB23" s="510"/>
      <c r="CC23" s="835"/>
      <c r="CD23" s="835"/>
      <c r="CE23" s="835"/>
      <c r="CF23" s="835"/>
      <c r="CG23" s="835"/>
      <c r="CH23" s="835"/>
      <c r="CI23" s="835"/>
      <c r="CJ23" s="835"/>
      <c r="CK23" s="77"/>
      <c r="CL23" s="857" t="s">
        <v>81</v>
      </c>
      <c r="CM23" s="857"/>
      <c r="CN23" s="857"/>
      <c r="CO23" s="857"/>
      <c r="CP23" s="861"/>
      <c r="CQ23" s="860"/>
      <c r="CR23" s="77"/>
      <c r="CS23" s="857" t="s">
        <v>91</v>
      </c>
      <c r="CT23" s="857"/>
      <c r="CU23" s="857"/>
      <c r="CV23" s="857"/>
      <c r="CW23" s="861"/>
      <c r="CX23" s="860"/>
      <c r="CY23" s="119"/>
    </row>
    <row r="24" spans="1:103" ht="7.5" customHeight="1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0"/>
      <c r="AI24" s="172" t="s">
        <v>116</v>
      </c>
      <c r="AJ24" s="172"/>
      <c r="AK24" s="536"/>
      <c r="AL24" s="536"/>
      <c r="AM24" s="536"/>
      <c r="AN24" s="537"/>
      <c r="AO24" s="537"/>
      <c r="AP24" s="537"/>
      <c r="AQ24" s="156"/>
      <c r="AR24" s="521"/>
      <c r="AS24" s="521"/>
      <c r="AT24" s="521"/>
      <c r="AU24" s="521"/>
      <c r="AV24" s="521"/>
      <c r="AW24" s="521"/>
      <c r="AX24" s="521"/>
      <c r="AY24" s="521"/>
      <c r="AZ24" s="521"/>
      <c r="BA24" s="521"/>
      <c r="BB24" s="521"/>
      <c r="BC24" s="521"/>
      <c r="BD24" s="521"/>
      <c r="BE24" s="521"/>
      <c r="BF24" s="521"/>
      <c r="BG24" s="521"/>
      <c r="BH24" s="521"/>
      <c r="BI24" s="521"/>
      <c r="BJ24" s="521"/>
      <c r="BK24" s="521"/>
      <c r="BL24" s="521"/>
      <c r="BM24" s="521"/>
      <c r="BN24" s="521"/>
      <c r="BO24" s="521"/>
      <c r="BP24" s="521"/>
      <c r="BQ24" s="521"/>
      <c r="BR24" s="521"/>
      <c r="BS24" s="521"/>
      <c r="BT24" s="521"/>
      <c r="BU24" s="521"/>
      <c r="BV24" s="521"/>
      <c r="BW24" s="119"/>
      <c r="BX24" s="77"/>
      <c r="BY24" s="510"/>
      <c r="BZ24" s="510"/>
      <c r="CA24" s="510"/>
      <c r="CB24" s="510"/>
      <c r="CC24" s="835"/>
      <c r="CD24" s="835"/>
      <c r="CE24" s="835"/>
      <c r="CF24" s="835"/>
      <c r="CG24" s="835"/>
      <c r="CH24" s="835"/>
      <c r="CI24" s="835"/>
      <c r="CJ24" s="835"/>
      <c r="CK24" s="77"/>
      <c r="CL24" s="857"/>
      <c r="CM24" s="857"/>
      <c r="CN24" s="857"/>
      <c r="CO24" s="857"/>
      <c r="CP24" s="860"/>
      <c r="CQ24" s="860"/>
      <c r="CR24" s="77"/>
      <c r="CS24" s="857"/>
      <c r="CT24" s="857"/>
      <c r="CU24" s="857"/>
      <c r="CV24" s="857"/>
      <c r="CW24" s="860"/>
      <c r="CX24" s="860"/>
      <c r="CY24" s="119"/>
    </row>
    <row r="25" spans="1:103" ht="7.5" customHeight="1" thickBo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120"/>
      <c r="AI25" s="172"/>
      <c r="AJ25" s="172"/>
      <c r="AK25" s="536"/>
      <c r="AL25" s="536"/>
      <c r="AM25" s="536"/>
      <c r="AN25" s="537"/>
      <c r="AO25" s="537"/>
      <c r="AP25" s="537"/>
      <c r="AQ25" s="156"/>
      <c r="AR25" s="521"/>
      <c r="AS25" s="521"/>
      <c r="AT25" s="521"/>
      <c r="AU25" s="521"/>
      <c r="AV25" s="521"/>
      <c r="AW25" s="521"/>
      <c r="AX25" s="521"/>
      <c r="AY25" s="521"/>
      <c r="AZ25" s="521"/>
      <c r="BA25" s="521"/>
      <c r="BB25" s="521"/>
      <c r="BC25" s="521"/>
      <c r="BD25" s="521"/>
      <c r="BE25" s="521"/>
      <c r="BF25" s="521"/>
      <c r="BG25" s="521"/>
      <c r="BH25" s="521"/>
      <c r="BI25" s="521"/>
      <c r="BJ25" s="521"/>
      <c r="BK25" s="521"/>
      <c r="BL25" s="521"/>
      <c r="BM25" s="521"/>
      <c r="BN25" s="521"/>
      <c r="BO25" s="521"/>
      <c r="BP25" s="521"/>
      <c r="BQ25" s="521"/>
      <c r="BR25" s="521"/>
      <c r="BS25" s="521"/>
      <c r="BT25" s="521"/>
      <c r="BU25" s="521"/>
      <c r="BV25" s="521"/>
      <c r="BW25" s="119"/>
      <c r="BX25" s="77"/>
      <c r="BY25" s="835"/>
      <c r="BZ25" s="835"/>
      <c r="CA25" s="835"/>
      <c r="CB25" s="835"/>
      <c r="CC25" s="835"/>
      <c r="CD25" s="835"/>
      <c r="CE25" s="835"/>
      <c r="CF25" s="835"/>
      <c r="CG25" s="835"/>
      <c r="CH25" s="835"/>
      <c r="CI25" s="835"/>
      <c r="CJ25" s="835"/>
      <c r="CK25" s="77"/>
      <c r="CL25" s="857" t="s">
        <v>82</v>
      </c>
      <c r="CM25" s="857"/>
      <c r="CN25" s="857"/>
      <c r="CO25" s="857"/>
      <c r="CP25" s="861"/>
      <c r="CQ25" s="860"/>
      <c r="CR25" s="77"/>
      <c r="CS25" s="857"/>
      <c r="CT25" s="857"/>
      <c r="CU25" s="857"/>
      <c r="CV25" s="857"/>
      <c r="CW25" s="861"/>
      <c r="CX25" s="860"/>
      <c r="CY25" s="119"/>
    </row>
    <row r="26" spans="1:103" ht="7.5" customHeight="1" thickBo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120"/>
      <c r="AI26" s="172" t="s">
        <v>117</v>
      </c>
      <c r="AJ26" s="172"/>
      <c r="AK26" s="536"/>
      <c r="AL26" s="536"/>
      <c r="AM26" s="536"/>
      <c r="AN26" s="537"/>
      <c r="AO26" s="537"/>
      <c r="AP26" s="537"/>
      <c r="AQ26" s="156"/>
      <c r="AR26" s="569" t="s">
        <v>102</v>
      </c>
      <c r="AS26" s="570"/>
      <c r="AT26" s="570"/>
      <c r="AU26" s="571"/>
      <c r="AV26" s="544"/>
      <c r="AW26" s="544"/>
      <c r="AX26" s="544"/>
      <c r="AY26" s="544"/>
      <c r="AZ26" s="544"/>
      <c r="BA26" s="544"/>
      <c r="BB26" s="544"/>
      <c r="BC26" s="544"/>
      <c r="BD26" s="545"/>
      <c r="BE26" s="543"/>
      <c r="BF26" s="544"/>
      <c r="BG26" s="544"/>
      <c r="BH26" s="544"/>
      <c r="BI26" s="544"/>
      <c r="BJ26" s="544"/>
      <c r="BK26" s="544"/>
      <c r="BL26" s="544"/>
      <c r="BM26" s="545"/>
      <c r="BN26" s="543"/>
      <c r="BO26" s="544"/>
      <c r="BP26" s="544"/>
      <c r="BQ26" s="544"/>
      <c r="BR26" s="544"/>
      <c r="BS26" s="544"/>
      <c r="BT26" s="544"/>
      <c r="BU26" s="544"/>
      <c r="BV26" s="545"/>
      <c r="BW26" s="119"/>
      <c r="BX26" s="77"/>
      <c r="BY26" s="835"/>
      <c r="BZ26" s="835"/>
      <c r="CA26" s="835"/>
      <c r="CB26" s="835"/>
      <c r="CC26" s="835"/>
      <c r="CD26" s="835"/>
      <c r="CE26" s="835"/>
      <c r="CF26" s="835"/>
      <c r="CG26" s="835"/>
      <c r="CH26" s="835"/>
      <c r="CI26" s="835"/>
      <c r="CJ26" s="835"/>
      <c r="CK26" s="77"/>
      <c r="CL26" s="857"/>
      <c r="CM26" s="857"/>
      <c r="CN26" s="857"/>
      <c r="CO26" s="857"/>
      <c r="CP26" s="860"/>
      <c r="CQ26" s="860"/>
      <c r="CR26" s="77"/>
      <c r="CS26" s="857"/>
      <c r="CT26" s="857"/>
      <c r="CU26" s="857"/>
      <c r="CV26" s="857"/>
      <c r="CW26" s="860"/>
      <c r="CX26" s="860"/>
      <c r="CY26" s="119"/>
    </row>
    <row r="27" spans="1:103" ht="7.5" customHeight="1" thickBot="1">
      <c r="A27" s="77"/>
      <c r="B27" s="569" t="s">
        <v>1081</v>
      </c>
      <c r="C27" s="570"/>
      <c r="D27" s="570"/>
      <c r="E27" s="570"/>
      <c r="F27" s="571"/>
      <c r="H27" s="377" t="s">
        <v>1128</v>
      </c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716"/>
      <c r="U27" s="377" t="s">
        <v>1127</v>
      </c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716"/>
      <c r="AG27" s="77"/>
      <c r="AH27" s="120"/>
      <c r="AI27" s="172"/>
      <c r="AJ27" s="172"/>
      <c r="AK27" s="536"/>
      <c r="AL27" s="536"/>
      <c r="AM27" s="536"/>
      <c r="AN27" s="537"/>
      <c r="AO27" s="537"/>
      <c r="AP27" s="537"/>
      <c r="AQ27" s="156"/>
      <c r="AR27" s="572"/>
      <c r="AS27" s="573"/>
      <c r="AT27" s="573"/>
      <c r="AU27" s="574"/>
      <c r="AV27" s="547"/>
      <c r="AW27" s="547"/>
      <c r="AX27" s="547"/>
      <c r="AY27" s="547"/>
      <c r="AZ27" s="547"/>
      <c r="BA27" s="547"/>
      <c r="BB27" s="547"/>
      <c r="BC27" s="547"/>
      <c r="BD27" s="548"/>
      <c r="BE27" s="546"/>
      <c r="BF27" s="547"/>
      <c r="BG27" s="547"/>
      <c r="BH27" s="547"/>
      <c r="BI27" s="547"/>
      <c r="BJ27" s="547"/>
      <c r="BK27" s="547"/>
      <c r="BL27" s="547"/>
      <c r="BM27" s="548"/>
      <c r="BN27" s="546"/>
      <c r="BO27" s="547"/>
      <c r="BP27" s="547"/>
      <c r="BQ27" s="547"/>
      <c r="BR27" s="547"/>
      <c r="BS27" s="547"/>
      <c r="BT27" s="547"/>
      <c r="BU27" s="547"/>
      <c r="BV27" s="548"/>
      <c r="BW27" s="119"/>
      <c r="BX27" s="77"/>
      <c r="BY27" s="835"/>
      <c r="BZ27" s="835"/>
      <c r="CA27" s="835"/>
      <c r="CB27" s="835"/>
      <c r="CC27" s="835"/>
      <c r="CD27" s="835"/>
      <c r="CE27" s="835"/>
      <c r="CF27" s="835"/>
      <c r="CG27" s="835"/>
      <c r="CH27" s="835"/>
      <c r="CI27" s="835"/>
      <c r="CJ27" s="835"/>
      <c r="CK27" s="77"/>
      <c r="CL27" s="510" t="s">
        <v>96</v>
      </c>
      <c r="CM27" s="510"/>
      <c r="CN27" s="510"/>
      <c r="CO27" s="510"/>
      <c r="CP27" s="835"/>
      <c r="CQ27" s="835"/>
      <c r="CR27" s="835"/>
      <c r="CS27" s="835"/>
      <c r="CT27" s="835"/>
      <c r="CU27" s="835"/>
      <c r="CV27" s="835"/>
      <c r="CW27" s="835"/>
      <c r="CX27" s="835"/>
      <c r="CY27" s="119"/>
    </row>
    <row r="28" spans="1:103" ht="7.5" customHeight="1" thickBot="1">
      <c r="A28" s="77"/>
      <c r="B28" s="572"/>
      <c r="C28" s="573"/>
      <c r="D28" s="573"/>
      <c r="E28" s="573"/>
      <c r="F28" s="574"/>
      <c r="G28" s="51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716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716"/>
      <c r="AG28" s="77"/>
      <c r="AH28" s="120"/>
      <c r="AI28" s="172" t="s">
        <v>118</v>
      </c>
      <c r="AJ28" s="172"/>
      <c r="AK28" s="536"/>
      <c r="AL28" s="536"/>
      <c r="AM28" s="536"/>
      <c r="AN28" s="537"/>
      <c r="AO28" s="537"/>
      <c r="AP28" s="537"/>
      <c r="AQ28" s="156"/>
      <c r="AR28" s="549"/>
      <c r="AS28" s="550"/>
      <c r="AT28" s="550"/>
      <c r="AU28" s="550"/>
      <c r="AV28" s="550"/>
      <c r="AW28" s="550"/>
      <c r="AX28" s="550"/>
      <c r="AY28" s="550"/>
      <c r="AZ28" s="550"/>
      <c r="BA28" s="550"/>
      <c r="BB28" s="550"/>
      <c r="BC28" s="550"/>
      <c r="BD28" s="551"/>
      <c r="BE28" s="543"/>
      <c r="BF28" s="544"/>
      <c r="BG28" s="544"/>
      <c r="BH28" s="544"/>
      <c r="BI28" s="544"/>
      <c r="BJ28" s="544"/>
      <c r="BK28" s="544"/>
      <c r="BL28" s="544"/>
      <c r="BM28" s="545"/>
      <c r="BN28" s="543"/>
      <c r="BO28" s="544"/>
      <c r="BP28" s="544"/>
      <c r="BQ28" s="544"/>
      <c r="BR28" s="544"/>
      <c r="BS28" s="544"/>
      <c r="BT28" s="544"/>
      <c r="BU28" s="544"/>
      <c r="BV28" s="545"/>
      <c r="BW28" s="119"/>
      <c r="BX28" s="77"/>
      <c r="BY28" s="835"/>
      <c r="BZ28" s="835"/>
      <c r="CA28" s="835"/>
      <c r="CB28" s="835"/>
      <c r="CC28" s="835"/>
      <c r="CD28" s="835"/>
      <c r="CE28" s="835"/>
      <c r="CF28" s="835"/>
      <c r="CG28" s="835"/>
      <c r="CH28" s="835"/>
      <c r="CI28" s="835"/>
      <c r="CJ28" s="835"/>
      <c r="CK28" s="77"/>
      <c r="CL28" s="510"/>
      <c r="CM28" s="510"/>
      <c r="CN28" s="510"/>
      <c r="CO28" s="510"/>
      <c r="CP28" s="835"/>
      <c r="CQ28" s="835"/>
      <c r="CR28" s="835"/>
      <c r="CS28" s="835"/>
      <c r="CT28" s="835"/>
      <c r="CU28" s="835"/>
      <c r="CV28" s="835"/>
      <c r="CW28" s="835"/>
      <c r="CX28" s="835"/>
      <c r="CY28" s="119"/>
    </row>
    <row r="29" spans="1:103" ht="7.5" customHeight="1">
      <c r="A29" s="77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120"/>
      <c r="AI29" s="172"/>
      <c r="AJ29" s="172"/>
      <c r="AK29" s="536"/>
      <c r="AL29" s="536"/>
      <c r="AM29" s="536"/>
      <c r="AN29" s="537"/>
      <c r="AO29" s="537"/>
      <c r="AP29" s="537"/>
      <c r="AQ29" s="156"/>
      <c r="AR29" s="546"/>
      <c r="AS29" s="547"/>
      <c r="AT29" s="547"/>
      <c r="AU29" s="547"/>
      <c r="AV29" s="547"/>
      <c r="AW29" s="547"/>
      <c r="AX29" s="547"/>
      <c r="AY29" s="547"/>
      <c r="AZ29" s="547"/>
      <c r="BA29" s="547"/>
      <c r="BB29" s="547"/>
      <c r="BC29" s="547"/>
      <c r="BD29" s="548"/>
      <c r="BE29" s="546"/>
      <c r="BF29" s="547"/>
      <c r="BG29" s="547"/>
      <c r="BH29" s="547"/>
      <c r="BI29" s="547"/>
      <c r="BJ29" s="547"/>
      <c r="BK29" s="547"/>
      <c r="BL29" s="547"/>
      <c r="BM29" s="548"/>
      <c r="BN29" s="546"/>
      <c r="BO29" s="547"/>
      <c r="BP29" s="547"/>
      <c r="BQ29" s="547"/>
      <c r="BR29" s="547"/>
      <c r="BS29" s="547"/>
      <c r="BT29" s="547"/>
      <c r="BU29" s="547"/>
      <c r="BV29" s="548"/>
      <c r="BW29" s="119"/>
      <c r="BX29" s="77"/>
      <c r="BY29" s="510" t="s">
        <v>1161</v>
      </c>
      <c r="BZ29" s="510"/>
      <c r="CA29" s="510"/>
      <c r="CB29" s="510"/>
      <c r="CC29" s="510"/>
      <c r="CD29" s="510"/>
      <c r="CE29" s="836"/>
      <c r="CF29" s="836"/>
      <c r="CG29" s="836"/>
      <c r="CH29" s="836"/>
      <c r="CI29" s="836"/>
      <c r="CJ29" s="836"/>
      <c r="CK29" s="77"/>
      <c r="CL29" s="510" t="s">
        <v>102</v>
      </c>
      <c r="CM29" s="510"/>
      <c r="CN29" s="510"/>
      <c r="CO29" s="510"/>
      <c r="CP29" s="835"/>
      <c r="CQ29" s="835"/>
      <c r="CR29" s="835"/>
      <c r="CS29" s="835"/>
      <c r="CT29" s="835"/>
      <c r="CU29" s="835"/>
      <c r="CV29" s="835"/>
      <c r="CW29" s="835"/>
      <c r="CX29" s="835"/>
      <c r="CY29" s="119"/>
    </row>
    <row r="30" spans="1:103" ht="7.5" customHeight="1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0"/>
      <c r="AI30" s="172" t="s">
        <v>119</v>
      </c>
      <c r="AJ30" s="172"/>
      <c r="AK30" s="536"/>
      <c r="AL30" s="536"/>
      <c r="AM30" s="536"/>
      <c r="AN30" s="537"/>
      <c r="AO30" s="537"/>
      <c r="AP30" s="537"/>
      <c r="AQ30" s="156"/>
      <c r="AR30" s="543"/>
      <c r="AS30" s="544"/>
      <c r="AT30" s="544"/>
      <c r="AU30" s="544"/>
      <c r="AV30" s="544"/>
      <c r="AW30" s="544"/>
      <c r="AX30" s="544"/>
      <c r="AY30" s="544"/>
      <c r="AZ30" s="544"/>
      <c r="BA30" s="544"/>
      <c r="BB30" s="544"/>
      <c r="BC30" s="544"/>
      <c r="BD30" s="545"/>
      <c r="BE30" s="543"/>
      <c r="BF30" s="544"/>
      <c r="BG30" s="544"/>
      <c r="BH30" s="544"/>
      <c r="BI30" s="544"/>
      <c r="BJ30" s="544"/>
      <c r="BK30" s="544"/>
      <c r="BL30" s="544"/>
      <c r="BM30" s="545"/>
      <c r="BN30" s="543"/>
      <c r="BO30" s="544"/>
      <c r="BP30" s="544"/>
      <c r="BQ30" s="544"/>
      <c r="BR30" s="544"/>
      <c r="BS30" s="544"/>
      <c r="BT30" s="544"/>
      <c r="BU30" s="544"/>
      <c r="BV30" s="545"/>
      <c r="BW30" s="119"/>
      <c r="BX30" s="77"/>
      <c r="BY30" s="510"/>
      <c r="BZ30" s="510"/>
      <c r="CA30" s="510"/>
      <c r="CB30" s="510"/>
      <c r="CC30" s="510"/>
      <c r="CD30" s="510"/>
      <c r="CE30" s="836"/>
      <c r="CF30" s="836"/>
      <c r="CG30" s="836"/>
      <c r="CH30" s="836"/>
      <c r="CI30" s="836"/>
      <c r="CJ30" s="836"/>
      <c r="CK30" s="77"/>
      <c r="CL30" s="510"/>
      <c r="CM30" s="510"/>
      <c r="CN30" s="510"/>
      <c r="CO30" s="510"/>
      <c r="CP30" s="835"/>
      <c r="CQ30" s="835"/>
      <c r="CR30" s="835"/>
      <c r="CS30" s="835"/>
      <c r="CT30" s="835"/>
      <c r="CU30" s="835"/>
      <c r="CV30" s="835"/>
      <c r="CW30" s="835"/>
      <c r="CX30" s="835"/>
      <c r="CY30" s="119"/>
    </row>
    <row r="31" spans="1:103" ht="7.5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120"/>
      <c r="AI31" s="172"/>
      <c r="AJ31" s="172"/>
      <c r="AK31" s="536"/>
      <c r="AL31" s="536"/>
      <c r="AM31" s="536"/>
      <c r="AN31" s="537"/>
      <c r="AO31" s="537"/>
      <c r="AP31" s="537"/>
      <c r="AQ31" s="156"/>
      <c r="AR31" s="546"/>
      <c r="AS31" s="547"/>
      <c r="AT31" s="547"/>
      <c r="AU31" s="547"/>
      <c r="AV31" s="547"/>
      <c r="AW31" s="547"/>
      <c r="AX31" s="547"/>
      <c r="AY31" s="547"/>
      <c r="AZ31" s="547"/>
      <c r="BA31" s="547"/>
      <c r="BB31" s="547"/>
      <c r="BC31" s="547"/>
      <c r="BD31" s="548"/>
      <c r="BE31" s="546"/>
      <c r="BF31" s="547"/>
      <c r="BG31" s="547"/>
      <c r="BH31" s="547"/>
      <c r="BI31" s="547"/>
      <c r="BJ31" s="547"/>
      <c r="BK31" s="547"/>
      <c r="BL31" s="547"/>
      <c r="BM31" s="548"/>
      <c r="BN31" s="546"/>
      <c r="BO31" s="547"/>
      <c r="BP31" s="547"/>
      <c r="BQ31" s="547"/>
      <c r="BR31" s="547"/>
      <c r="BS31" s="547"/>
      <c r="BT31" s="547"/>
      <c r="BU31" s="547"/>
      <c r="BV31" s="548"/>
      <c r="BW31" s="119"/>
      <c r="BX31" s="77"/>
      <c r="BY31" s="835"/>
      <c r="BZ31" s="835"/>
      <c r="CA31" s="835"/>
      <c r="CB31" s="835"/>
      <c r="CC31" s="835"/>
      <c r="CD31" s="835"/>
      <c r="CE31" s="835"/>
      <c r="CF31" s="835"/>
      <c r="CG31" s="835"/>
      <c r="CH31" s="835"/>
      <c r="CI31" s="835"/>
      <c r="CJ31" s="835"/>
      <c r="CK31" s="77"/>
      <c r="CL31" s="835"/>
      <c r="CM31" s="835"/>
      <c r="CN31" s="835"/>
      <c r="CO31" s="835"/>
      <c r="CP31" s="835"/>
      <c r="CQ31" s="835"/>
      <c r="CR31" s="835"/>
      <c r="CS31" s="835"/>
      <c r="CT31" s="835"/>
      <c r="CU31" s="835"/>
      <c r="CV31" s="835"/>
      <c r="CW31" s="835"/>
      <c r="CX31" s="835"/>
      <c r="CY31" s="119"/>
    </row>
    <row r="32" spans="1:103" ht="7.5" customHeight="1" thickBo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120"/>
      <c r="AI32" s="172" t="s">
        <v>120</v>
      </c>
      <c r="AJ32" s="172"/>
      <c r="AK32" s="536"/>
      <c r="AL32" s="536"/>
      <c r="AM32" s="536"/>
      <c r="AN32" s="537"/>
      <c r="AO32" s="537"/>
      <c r="AP32" s="537"/>
      <c r="AQ32" s="156"/>
      <c r="AR32" s="543"/>
      <c r="AS32" s="544"/>
      <c r="AT32" s="544"/>
      <c r="AU32" s="544"/>
      <c r="AV32" s="544"/>
      <c r="AW32" s="544"/>
      <c r="AX32" s="544"/>
      <c r="AY32" s="544"/>
      <c r="AZ32" s="544"/>
      <c r="BA32" s="544"/>
      <c r="BB32" s="544"/>
      <c r="BC32" s="544"/>
      <c r="BD32" s="545"/>
      <c r="BE32" s="543"/>
      <c r="BF32" s="544"/>
      <c r="BG32" s="544"/>
      <c r="BH32" s="544"/>
      <c r="BI32" s="544"/>
      <c r="BJ32" s="544"/>
      <c r="BK32" s="544"/>
      <c r="BL32" s="544"/>
      <c r="BM32" s="545"/>
      <c r="BN32" s="543"/>
      <c r="BO32" s="544"/>
      <c r="BP32" s="544"/>
      <c r="BQ32" s="544"/>
      <c r="BR32" s="544"/>
      <c r="BS32" s="544"/>
      <c r="BT32" s="544"/>
      <c r="BU32" s="544"/>
      <c r="BV32" s="545"/>
      <c r="BW32" s="119"/>
      <c r="BX32" s="77"/>
      <c r="BY32" s="835"/>
      <c r="BZ32" s="835"/>
      <c r="CA32" s="835"/>
      <c r="CB32" s="835"/>
      <c r="CC32" s="835"/>
      <c r="CD32" s="835"/>
      <c r="CE32" s="835"/>
      <c r="CF32" s="835"/>
      <c r="CG32" s="835"/>
      <c r="CH32" s="835"/>
      <c r="CI32" s="835"/>
      <c r="CJ32" s="835"/>
      <c r="CK32" s="77"/>
      <c r="CL32" s="835"/>
      <c r="CM32" s="835"/>
      <c r="CN32" s="835"/>
      <c r="CO32" s="835"/>
      <c r="CP32" s="835"/>
      <c r="CQ32" s="835"/>
      <c r="CR32" s="835"/>
      <c r="CS32" s="835"/>
      <c r="CT32" s="835"/>
      <c r="CU32" s="835"/>
      <c r="CV32" s="835"/>
      <c r="CW32" s="835"/>
      <c r="CX32" s="835"/>
      <c r="CY32" s="119"/>
    </row>
    <row r="33" spans="1:103" ht="7.5" customHeight="1">
      <c r="A33" s="77"/>
      <c r="B33" s="506" t="s">
        <v>1088</v>
      </c>
      <c r="C33" s="507"/>
      <c r="D33" s="508"/>
      <c r="E33" s="77"/>
      <c r="F33" s="732" t="s">
        <v>1089</v>
      </c>
      <c r="G33" s="732"/>
      <c r="H33" s="732"/>
      <c r="I33" s="732"/>
      <c r="J33" s="732"/>
      <c r="K33" s="732"/>
      <c r="L33" s="732"/>
      <c r="M33" s="732"/>
      <c r="N33" s="762">
        <f>IF(AND(Таблицы!E236=2,Таблицы!E247=1),Разное!X8*100,IF(AND(Таблицы!E236=2,Таблицы!E247=2),Разное!X17*100,IF(OR(Таблицы!E234=0,Таблицы!E243=0),"",Таблицы!F234)))</f>
      </c>
      <c r="O33" s="763"/>
      <c r="P33" s="687" t="s">
        <v>1090</v>
      </c>
      <c r="Q33" s="688" t="s">
        <v>1098</v>
      </c>
      <c r="R33" s="689"/>
      <c r="S33" s="689"/>
      <c r="T33" s="690"/>
      <c r="U33" s="718"/>
      <c r="V33" s="719"/>
      <c r="W33" s="687" t="s">
        <v>1090</v>
      </c>
      <c r="X33" s="732" t="s">
        <v>1099</v>
      </c>
      <c r="Y33" s="732"/>
      <c r="Z33" s="732"/>
      <c r="AA33" s="732"/>
      <c r="AB33" s="732"/>
      <c r="AC33" s="732"/>
      <c r="AD33" s="718"/>
      <c r="AE33" s="719"/>
      <c r="AF33" s="687" t="s">
        <v>1090</v>
      </c>
      <c r="AG33" s="77"/>
      <c r="AH33" s="120"/>
      <c r="AI33" s="172"/>
      <c r="AJ33" s="172"/>
      <c r="AK33" s="536"/>
      <c r="AL33" s="536"/>
      <c r="AM33" s="536"/>
      <c r="AN33" s="537"/>
      <c r="AO33" s="537"/>
      <c r="AP33" s="537"/>
      <c r="AQ33" s="156"/>
      <c r="AR33" s="546"/>
      <c r="AS33" s="547"/>
      <c r="AT33" s="547"/>
      <c r="AU33" s="547"/>
      <c r="AV33" s="547"/>
      <c r="AW33" s="547"/>
      <c r="AX33" s="547"/>
      <c r="AY33" s="547"/>
      <c r="AZ33" s="547"/>
      <c r="BA33" s="547"/>
      <c r="BB33" s="547"/>
      <c r="BC33" s="547"/>
      <c r="BD33" s="548"/>
      <c r="BE33" s="546"/>
      <c r="BF33" s="547"/>
      <c r="BG33" s="547"/>
      <c r="BH33" s="547"/>
      <c r="BI33" s="547"/>
      <c r="BJ33" s="547"/>
      <c r="BK33" s="547"/>
      <c r="BL33" s="547"/>
      <c r="BM33" s="548"/>
      <c r="BN33" s="546"/>
      <c r="BO33" s="547"/>
      <c r="BP33" s="547"/>
      <c r="BQ33" s="547"/>
      <c r="BR33" s="547"/>
      <c r="BS33" s="547"/>
      <c r="BT33" s="547"/>
      <c r="BU33" s="547"/>
      <c r="BV33" s="548"/>
      <c r="BW33" s="119"/>
      <c r="BX33" s="77"/>
      <c r="BY33" s="510" t="s">
        <v>101</v>
      </c>
      <c r="BZ33" s="510"/>
      <c r="CA33" s="510"/>
      <c r="CB33" s="837"/>
      <c r="CC33" s="837"/>
      <c r="CD33" s="837"/>
      <c r="CE33" s="837"/>
      <c r="CF33" s="837"/>
      <c r="CG33" s="837"/>
      <c r="CH33" s="837"/>
      <c r="CI33" s="837"/>
      <c r="CJ33" s="837"/>
      <c r="CK33" s="77"/>
      <c r="CL33" s="835"/>
      <c r="CM33" s="835"/>
      <c r="CN33" s="835"/>
      <c r="CO33" s="835"/>
      <c r="CP33" s="835"/>
      <c r="CQ33" s="835"/>
      <c r="CR33" s="835"/>
      <c r="CS33" s="835"/>
      <c r="CT33" s="835"/>
      <c r="CU33" s="835"/>
      <c r="CV33" s="835"/>
      <c r="CW33" s="835"/>
      <c r="CX33" s="835"/>
      <c r="CY33" s="119"/>
    </row>
    <row r="34" spans="1:103" ht="7.5" customHeight="1" thickBot="1">
      <c r="A34" s="77"/>
      <c r="B34" s="512"/>
      <c r="C34" s="513"/>
      <c r="D34" s="514"/>
      <c r="E34" s="77"/>
      <c r="F34" s="732"/>
      <c r="G34" s="732"/>
      <c r="H34" s="732"/>
      <c r="I34" s="732"/>
      <c r="J34" s="732"/>
      <c r="K34" s="732"/>
      <c r="L34" s="732"/>
      <c r="M34" s="732"/>
      <c r="N34" s="764"/>
      <c r="O34" s="765"/>
      <c r="P34" s="687"/>
      <c r="Q34" s="691"/>
      <c r="R34" s="692"/>
      <c r="S34" s="692"/>
      <c r="T34" s="693"/>
      <c r="U34" s="720"/>
      <c r="V34" s="721"/>
      <c r="W34" s="687"/>
      <c r="X34" s="732"/>
      <c r="Y34" s="732"/>
      <c r="Z34" s="732"/>
      <c r="AA34" s="732"/>
      <c r="AB34" s="732"/>
      <c r="AC34" s="732"/>
      <c r="AD34" s="720"/>
      <c r="AE34" s="721"/>
      <c r="AF34" s="687"/>
      <c r="AG34" s="77"/>
      <c r="AH34" s="142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44"/>
      <c r="BX34" s="77"/>
      <c r="BY34" s="510"/>
      <c r="BZ34" s="510"/>
      <c r="CA34" s="510"/>
      <c r="CB34" s="837"/>
      <c r="CC34" s="837"/>
      <c r="CD34" s="837"/>
      <c r="CE34" s="837"/>
      <c r="CF34" s="837"/>
      <c r="CG34" s="837"/>
      <c r="CH34" s="837"/>
      <c r="CI34" s="837"/>
      <c r="CJ34" s="837"/>
      <c r="CK34" s="77"/>
      <c r="CL34" s="835"/>
      <c r="CM34" s="835"/>
      <c r="CN34" s="835"/>
      <c r="CO34" s="835"/>
      <c r="CP34" s="835"/>
      <c r="CQ34" s="835"/>
      <c r="CR34" s="835"/>
      <c r="CS34" s="835"/>
      <c r="CT34" s="835"/>
      <c r="CU34" s="835"/>
      <c r="CV34" s="835"/>
      <c r="CW34" s="835"/>
      <c r="CX34" s="835"/>
      <c r="CY34" s="119"/>
    </row>
    <row r="35" spans="1:103" ht="7.5" customHeight="1" thickBo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120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119"/>
      <c r="BX35" s="77"/>
      <c r="BY35" s="77"/>
      <c r="BZ35" s="77"/>
      <c r="CA35" s="77"/>
      <c r="CB35" s="77"/>
      <c r="CC35" s="77"/>
      <c r="CD35" s="77"/>
      <c r="CE35" s="77"/>
      <c r="CF35" s="77"/>
      <c r="CG35" s="153"/>
      <c r="CH35" s="153"/>
      <c r="CI35" s="153"/>
      <c r="CJ35" s="153"/>
      <c r="CK35" s="153"/>
      <c r="CL35" s="153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119"/>
    </row>
    <row r="36" spans="1:103" ht="7.5" customHeight="1" thickBot="1">
      <c r="A36" s="77"/>
      <c r="B36" s="700" t="s">
        <v>1090</v>
      </c>
      <c r="C36" s="732" t="s">
        <v>1102</v>
      </c>
      <c r="D36" s="732"/>
      <c r="E36" s="732"/>
      <c r="F36" s="732"/>
      <c r="G36" s="732"/>
      <c r="H36" s="683"/>
      <c r="I36" s="684"/>
      <c r="J36" s="687" t="s">
        <v>1103</v>
      </c>
      <c r="K36" s="732" t="s">
        <v>1105</v>
      </c>
      <c r="L36" s="732"/>
      <c r="M36" s="732"/>
      <c r="N36" s="732"/>
      <c r="O36" s="732"/>
      <c r="P36" s="732"/>
      <c r="Q36" s="736"/>
      <c r="R36" s="737"/>
      <c r="S36" s="687" t="s">
        <v>1090</v>
      </c>
      <c r="T36" s="688" t="s">
        <v>1104</v>
      </c>
      <c r="U36" s="689"/>
      <c r="V36" s="689"/>
      <c r="W36" s="689"/>
      <c r="X36" s="689"/>
      <c r="Y36" s="689"/>
      <c r="Z36" s="690"/>
      <c r="AA36" s="718"/>
      <c r="AB36" s="719"/>
      <c r="AC36" s="687" t="s">
        <v>1106</v>
      </c>
      <c r="AD36" s="749">
        <f>IF(N33="","",N33-U33-AD33-H36+Q36-AA36)</f>
      </c>
      <c r="AE36" s="750"/>
      <c r="AF36" s="751"/>
      <c r="AG36" s="77"/>
      <c r="AH36" s="120"/>
      <c r="AI36" s="569" t="s">
        <v>1144</v>
      </c>
      <c r="AJ36" s="570"/>
      <c r="AK36" s="570"/>
      <c r="AL36" s="570"/>
      <c r="AM36" s="657"/>
      <c r="AN36" s="662"/>
      <c r="AO36" s="663"/>
      <c r="AP36" s="663"/>
      <c r="AQ36" s="663"/>
      <c r="AR36" s="663"/>
      <c r="AS36" s="663"/>
      <c r="AT36" s="663"/>
      <c r="AU36" s="663"/>
      <c r="AV36" s="663"/>
      <c r="AW36" s="663"/>
      <c r="AX36" s="663"/>
      <c r="AY36" s="663"/>
      <c r="AZ36" s="663"/>
      <c r="BA36" s="664"/>
      <c r="BB36" s="77"/>
      <c r="BC36" s="77"/>
      <c r="BD36" s="569" t="s">
        <v>1145</v>
      </c>
      <c r="BE36" s="570"/>
      <c r="BF36" s="570"/>
      <c r="BG36" s="570"/>
      <c r="BH36" s="657"/>
      <c r="BI36" s="662"/>
      <c r="BJ36" s="663"/>
      <c r="BK36" s="663"/>
      <c r="BL36" s="663"/>
      <c r="BM36" s="663"/>
      <c r="BN36" s="663"/>
      <c r="BO36" s="663"/>
      <c r="BP36" s="663"/>
      <c r="BQ36" s="663"/>
      <c r="BR36" s="663"/>
      <c r="BS36" s="663"/>
      <c r="BT36" s="663"/>
      <c r="BU36" s="663"/>
      <c r="BV36" s="664"/>
      <c r="BW36" s="119"/>
      <c r="BX36" s="120"/>
      <c r="BY36" s="77"/>
      <c r="BZ36" s="77"/>
      <c r="CA36" s="77"/>
      <c r="CB36" s="77"/>
      <c r="CC36" s="77"/>
      <c r="CD36" s="77"/>
      <c r="CE36" s="77"/>
      <c r="CF36" s="77"/>
      <c r="CG36" s="153"/>
      <c r="CH36" s="152"/>
      <c r="CI36" s="152"/>
      <c r="CJ36" s="152"/>
      <c r="CK36" s="153"/>
      <c r="CL36" s="153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119"/>
    </row>
    <row r="37" spans="1:103" ht="7.5" customHeight="1" thickBot="1">
      <c r="A37" s="77"/>
      <c r="B37" s="700"/>
      <c r="C37" s="732"/>
      <c r="D37" s="732"/>
      <c r="E37" s="732"/>
      <c r="F37" s="732"/>
      <c r="G37" s="732"/>
      <c r="H37" s="685"/>
      <c r="I37" s="686"/>
      <c r="J37" s="687"/>
      <c r="K37" s="732"/>
      <c r="L37" s="732"/>
      <c r="M37" s="732"/>
      <c r="N37" s="732"/>
      <c r="O37" s="732"/>
      <c r="P37" s="732"/>
      <c r="Q37" s="738"/>
      <c r="R37" s="739"/>
      <c r="S37" s="687"/>
      <c r="T37" s="691"/>
      <c r="U37" s="692"/>
      <c r="V37" s="692"/>
      <c r="W37" s="692"/>
      <c r="X37" s="692"/>
      <c r="Y37" s="692"/>
      <c r="Z37" s="693"/>
      <c r="AA37" s="720"/>
      <c r="AB37" s="721"/>
      <c r="AC37" s="687"/>
      <c r="AD37" s="752"/>
      <c r="AE37" s="753"/>
      <c r="AF37" s="754"/>
      <c r="AG37" s="77"/>
      <c r="AH37" s="120"/>
      <c r="AI37" s="658"/>
      <c r="AJ37" s="659"/>
      <c r="AK37" s="659"/>
      <c r="AL37" s="659"/>
      <c r="AM37" s="660"/>
      <c r="AN37" s="665"/>
      <c r="AO37" s="666"/>
      <c r="AP37" s="666"/>
      <c r="AQ37" s="666"/>
      <c r="AR37" s="666"/>
      <c r="AS37" s="666"/>
      <c r="AT37" s="666"/>
      <c r="AU37" s="666"/>
      <c r="AV37" s="666"/>
      <c r="AW37" s="666"/>
      <c r="AX37" s="666"/>
      <c r="AY37" s="666"/>
      <c r="AZ37" s="666"/>
      <c r="BA37" s="667"/>
      <c r="BB37" s="77"/>
      <c r="BC37" s="77"/>
      <c r="BD37" s="658"/>
      <c r="BE37" s="659"/>
      <c r="BF37" s="659"/>
      <c r="BG37" s="659"/>
      <c r="BH37" s="660"/>
      <c r="BI37" s="665"/>
      <c r="BJ37" s="666"/>
      <c r="BK37" s="666"/>
      <c r="BL37" s="666"/>
      <c r="BM37" s="666"/>
      <c r="BN37" s="666"/>
      <c r="BO37" s="666"/>
      <c r="BP37" s="666"/>
      <c r="BQ37" s="666"/>
      <c r="BR37" s="666"/>
      <c r="BS37" s="666"/>
      <c r="BT37" s="666"/>
      <c r="BU37" s="666"/>
      <c r="BV37" s="667"/>
      <c r="BW37" s="119"/>
      <c r="BX37" s="120"/>
      <c r="BY37" s="569" t="s">
        <v>1162</v>
      </c>
      <c r="BZ37" s="570"/>
      <c r="CA37" s="570"/>
      <c r="CB37" s="570"/>
      <c r="CC37" s="570"/>
      <c r="CD37" s="570"/>
      <c r="CE37" s="570"/>
      <c r="CF37" s="570"/>
      <c r="CG37" s="570"/>
      <c r="CH37" s="570"/>
      <c r="CI37" s="570"/>
      <c r="CJ37" s="571"/>
      <c r="CK37" s="153"/>
      <c r="CL37" s="510" t="s">
        <v>73</v>
      </c>
      <c r="CM37" s="510"/>
      <c r="CN37" s="510"/>
      <c r="CO37" s="510"/>
      <c r="CP37" s="510"/>
      <c r="CQ37" s="510"/>
      <c r="CR37" s="510"/>
      <c r="CS37" s="510"/>
      <c r="CT37" s="510"/>
      <c r="CU37" s="510"/>
      <c r="CV37" s="510"/>
      <c r="CW37" s="510"/>
      <c r="CX37" s="510"/>
      <c r="CY37" s="119"/>
    </row>
    <row r="38" spans="34:103" ht="7.5" customHeight="1" thickBot="1">
      <c r="AH38" s="120"/>
      <c r="AI38" s="572"/>
      <c r="AJ38" s="573"/>
      <c r="AK38" s="573"/>
      <c r="AL38" s="573"/>
      <c r="AM38" s="661"/>
      <c r="AN38" s="668"/>
      <c r="AO38" s="669"/>
      <c r="AP38" s="669"/>
      <c r="AQ38" s="669"/>
      <c r="AR38" s="669"/>
      <c r="AS38" s="669"/>
      <c r="AT38" s="669"/>
      <c r="AU38" s="669"/>
      <c r="AV38" s="669"/>
      <c r="AW38" s="669"/>
      <c r="AX38" s="669"/>
      <c r="AY38" s="669"/>
      <c r="AZ38" s="669"/>
      <c r="BA38" s="670"/>
      <c r="BB38" s="77"/>
      <c r="BC38" s="77"/>
      <c r="BD38" s="572"/>
      <c r="BE38" s="573"/>
      <c r="BF38" s="573"/>
      <c r="BG38" s="573"/>
      <c r="BH38" s="661"/>
      <c r="BI38" s="668"/>
      <c r="BJ38" s="669"/>
      <c r="BK38" s="669"/>
      <c r="BL38" s="669"/>
      <c r="BM38" s="669"/>
      <c r="BN38" s="669"/>
      <c r="BO38" s="669"/>
      <c r="BP38" s="669"/>
      <c r="BQ38" s="669"/>
      <c r="BR38" s="669"/>
      <c r="BS38" s="669"/>
      <c r="BT38" s="669"/>
      <c r="BU38" s="669"/>
      <c r="BV38" s="670"/>
      <c r="BW38" s="119"/>
      <c r="BX38" s="120"/>
      <c r="BY38" s="572"/>
      <c r="BZ38" s="573"/>
      <c r="CA38" s="573"/>
      <c r="CB38" s="573"/>
      <c r="CC38" s="573"/>
      <c r="CD38" s="573"/>
      <c r="CE38" s="573"/>
      <c r="CF38" s="573"/>
      <c r="CG38" s="573"/>
      <c r="CH38" s="573"/>
      <c r="CI38" s="573"/>
      <c r="CJ38" s="574"/>
      <c r="CK38" s="153"/>
      <c r="CL38" s="510"/>
      <c r="CM38" s="510"/>
      <c r="CN38" s="510"/>
      <c r="CO38" s="510"/>
      <c r="CP38" s="510"/>
      <c r="CQ38" s="510"/>
      <c r="CR38" s="510"/>
      <c r="CS38" s="510"/>
      <c r="CT38" s="510"/>
      <c r="CU38" s="510"/>
      <c r="CV38" s="510"/>
      <c r="CW38" s="510"/>
      <c r="CX38" s="510"/>
      <c r="CY38" s="119"/>
    </row>
    <row r="39" spans="1:103" ht="7.5" customHeight="1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0"/>
      <c r="AI39" s="286" t="s">
        <v>958</v>
      </c>
      <c r="AJ39" s="286"/>
      <c r="AK39" s="585"/>
      <c r="AL39" s="585"/>
      <c r="AM39" s="585"/>
      <c r="AN39" s="286" t="s">
        <v>960</v>
      </c>
      <c r="AO39" s="286"/>
      <c r="AP39" s="585"/>
      <c r="AQ39" s="585"/>
      <c r="AR39" s="585"/>
      <c r="AS39" s="286" t="s">
        <v>281</v>
      </c>
      <c r="AT39" s="286"/>
      <c r="AU39" s="585"/>
      <c r="AV39" s="585"/>
      <c r="AW39" s="286" t="s">
        <v>959</v>
      </c>
      <c r="AX39" s="286"/>
      <c r="AY39" s="585"/>
      <c r="AZ39" s="585"/>
      <c r="BA39" s="585"/>
      <c r="BB39" s="77"/>
      <c r="BC39" s="77"/>
      <c r="BD39" s="286" t="s">
        <v>958</v>
      </c>
      <c r="BE39" s="286"/>
      <c r="BF39" s="585"/>
      <c r="BG39" s="585"/>
      <c r="BH39" s="585"/>
      <c r="BI39" s="286" t="s">
        <v>960</v>
      </c>
      <c r="BJ39" s="286"/>
      <c r="BK39" s="585"/>
      <c r="BL39" s="585"/>
      <c r="BM39" s="585"/>
      <c r="BN39" s="286" t="s">
        <v>281</v>
      </c>
      <c r="BO39" s="286"/>
      <c r="BP39" s="585"/>
      <c r="BQ39" s="585"/>
      <c r="BR39" s="286" t="s">
        <v>959</v>
      </c>
      <c r="BS39" s="286"/>
      <c r="BT39" s="585"/>
      <c r="BU39" s="585"/>
      <c r="BV39" s="585"/>
      <c r="BW39" s="119"/>
      <c r="BX39" s="120"/>
      <c r="BY39" s="827"/>
      <c r="BZ39" s="827"/>
      <c r="CA39" s="827"/>
      <c r="CB39" s="827"/>
      <c r="CC39" s="827"/>
      <c r="CD39" s="827"/>
      <c r="CE39" s="827"/>
      <c r="CF39" s="827"/>
      <c r="CG39" s="827"/>
      <c r="CH39" s="827"/>
      <c r="CI39" s="827"/>
      <c r="CJ39" s="827"/>
      <c r="CK39" s="153"/>
      <c r="CL39" s="856" t="s">
        <v>1170</v>
      </c>
      <c r="CM39" s="856"/>
      <c r="CN39" s="856"/>
      <c r="CO39" s="856"/>
      <c r="CP39" s="858"/>
      <c r="CQ39" s="859"/>
      <c r="CR39" s="77"/>
      <c r="CS39" s="856" t="s">
        <v>83</v>
      </c>
      <c r="CT39" s="856"/>
      <c r="CU39" s="856"/>
      <c r="CV39" s="856"/>
      <c r="CW39" s="858"/>
      <c r="CX39" s="859"/>
      <c r="CY39" s="119"/>
    </row>
    <row r="40" spans="1:103" ht="7.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120"/>
      <c r="AI40" s="172"/>
      <c r="AJ40" s="172"/>
      <c r="AK40" s="558"/>
      <c r="AL40" s="558"/>
      <c r="AM40" s="558"/>
      <c r="AN40" s="172"/>
      <c r="AO40" s="172"/>
      <c r="AP40" s="558"/>
      <c r="AQ40" s="558"/>
      <c r="AR40" s="558"/>
      <c r="AS40" s="172"/>
      <c r="AT40" s="172"/>
      <c r="AU40" s="558"/>
      <c r="AV40" s="558"/>
      <c r="AW40" s="172"/>
      <c r="AX40" s="172"/>
      <c r="AY40" s="558"/>
      <c r="AZ40" s="558"/>
      <c r="BA40" s="558"/>
      <c r="BB40" s="77"/>
      <c r="BC40" s="77"/>
      <c r="BD40" s="172"/>
      <c r="BE40" s="172"/>
      <c r="BF40" s="558"/>
      <c r="BG40" s="558"/>
      <c r="BH40" s="558"/>
      <c r="BI40" s="172"/>
      <c r="BJ40" s="172"/>
      <c r="BK40" s="558"/>
      <c r="BL40" s="558"/>
      <c r="BM40" s="558"/>
      <c r="BN40" s="172"/>
      <c r="BO40" s="172"/>
      <c r="BP40" s="558"/>
      <c r="BQ40" s="558"/>
      <c r="BR40" s="172"/>
      <c r="BS40" s="172"/>
      <c r="BT40" s="558"/>
      <c r="BU40" s="558"/>
      <c r="BV40" s="558"/>
      <c r="BW40" s="119"/>
      <c r="BX40" s="120"/>
      <c r="BY40" s="828"/>
      <c r="BZ40" s="828"/>
      <c r="CA40" s="828"/>
      <c r="CB40" s="828"/>
      <c r="CC40" s="828"/>
      <c r="CD40" s="828"/>
      <c r="CE40" s="828"/>
      <c r="CF40" s="828"/>
      <c r="CG40" s="828"/>
      <c r="CH40" s="828"/>
      <c r="CI40" s="828"/>
      <c r="CJ40" s="828"/>
      <c r="CK40" s="153"/>
      <c r="CL40" s="857"/>
      <c r="CM40" s="857"/>
      <c r="CN40" s="857"/>
      <c r="CO40" s="857"/>
      <c r="CP40" s="860"/>
      <c r="CQ40" s="860"/>
      <c r="CR40" s="77"/>
      <c r="CS40" s="857"/>
      <c r="CT40" s="857"/>
      <c r="CU40" s="857"/>
      <c r="CV40" s="857"/>
      <c r="CW40" s="860"/>
      <c r="CX40" s="860"/>
      <c r="CY40" s="119"/>
    </row>
    <row r="41" spans="1:103" ht="7.5" customHeight="1" thickBo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120"/>
      <c r="AI41" s="172" t="s">
        <v>961</v>
      </c>
      <c r="AJ41" s="172"/>
      <c r="AK41" s="620"/>
      <c r="AL41" s="620"/>
      <c r="AM41" s="620"/>
      <c r="AN41" s="15"/>
      <c r="AO41" s="15"/>
      <c r="AP41" s="172" t="s">
        <v>282</v>
      </c>
      <c r="AQ41" s="172"/>
      <c r="AR41" s="172"/>
      <c r="AS41" s="172" t="s">
        <v>322</v>
      </c>
      <c r="AT41" s="172"/>
      <c r="AU41" s="172" t="s">
        <v>284</v>
      </c>
      <c r="AV41" s="172"/>
      <c r="AW41" s="172" t="s">
        <v>283</v>
      </c>
      <c r="AX41" s="172"/>
      <c r="AY41" s="172" t="s">
        <v>278</v>
      </c>
      <c r="AZ41" s="172"/>
      <c r="BA41" s="172"/>
      <c r="BB41" s="77"/>
      <c r="BC41" s="77"/>
      <c r="BD41" s="172" t="s">
        <v>961</v>
      </c>
      <c r="BE41" s="172"/>
      <c r="BF41" s="620"/>
      <c r="BG41" s="620"/>
      <c r="BH41" s="620"/>
      <c r="BI41" s="15"/>
      <c r="BJ41" s="15"/>
      <c r="BK41" s="172" t="s">
        <v>282</v>
      </c>
      <c r="BL41" s="172"/>
      <c r="BM41" s="172"/>
      <c r="BN41" s="172" t="s">
        <v>322</v>
      </c>
      <c r="BO41" s="172"/>
      <c r="BP41" s="172" t="s">
        <v>284</v>
      </c>
      <c r="BQ41" s="172"/>
      <c r="BR41" s="172" t="s">
        <v>283</v>
      </c>
      <c r="BS41" s="172"/>
      <c r="BT41" s="172" t="s">
        <v>278</v>
      </c>
      <c r="BU41" s="172"/>
      <c r="BV41" s="172"/>
      <c r="BW41" s="119"/>
      <c r="BX41" s="120"/>
      <c r="BY41" s="172" t="s">
        <v>958</v>
      </c>
      <c r="BZ41" s="172"/>
      <c r="CA41" s="558"/>
      <c r="CB41" s="558"/>
      <c r="CC41" s="286" t="s">
        <v>960</v>
      </c>
      <c r="CD41" s="286"/>
      <c r="CE41" s="558"/>
      <c r="CF41" s="558"/>
      <c r="CG41" s="172" t="s">
        <v>281</v>
      </c>
      <c r="CH41" s="172"/>
      <c r="CI41" s="558"/>
      <c r="CJ41" s="558"/>
      <c r="CK41" s="153"/>
      <c r="CL41" s="857" t="s">
        <v>1171</v>
      </c>
      <c r="CM41" s="857"/>
      <c r="CN41" s="857"/>
      <c r="CO41" s="857"/>
      <c r="CP41" s="861"/>
      <c r="CQ41" s="860"/>
      <c r="CR41" s="77"/>
      <c r="CS41" s="857" t="s">
        <v>84</v>
      </c>
      <c r="CT41" s="857"/>
      <c r="CU41" s="857"/>
      <c r="CV41" s="857"/>
      <c r="CW41" s="861"/>
      <c r="CX41" s="860"/>
      <c r="CY41" s="119"/>
    </row>
    <row r="42" spans="1:103" ht="7.5" customHeight="1">
      <c r="A42" s="77"/>
      <c r="B42" s="569" t="s">
        <v>1084</v>
      </c>
      <c r="C42" s="570"/>
      <c r="D42" s="570"/>
      <c r="E42" s="570"/>
      <c r="F42" s="571"/>
      <c r="G42" s="107"/>
      <c r="H42" s="506" t="s">
        <v>1087</v>
      </c>
      <c r="I42" s="507"/>
      <c r="J42" s="507"/>
      <c r="K42" s="507"/>
      <c r="L42" s="760"/>
      <c r="M42" s="114"/>
      <c r="N42" s="106"/>
      <c r="O42" s="106"/>
      <c r="P42" s="734">
        <f>IF(OR(Таблицы!F238,Таблицы!G238,Таблицы!H238,Таблицы!I238,Таблицы!J238,Таблицы!K238,Таблицы!L238,Таблицы!M238)=TRUE,_XLL.СЛУЧМЕЖДУ(1,Таблицы!E239),"")</f>
      </c>
      <c r="Q42" s="734"/>
      <c r="R42" s="106"/>
      <c r="S42" s="106"/>
      <c r="T42" s="110"/>
      <c r="U42" s="115"/>
      <c r="V42" s="77"/>
      <c r="W42" s="710" t="s">
        <v>1159</v>
      </c>
      <c r="X42" s="711"/>
      <c r="Y42" s="755"/>
      <c r="Z42" s="756"/>
      <c r="AA42" s="756"/>
      <c r="AB42" s="756"/>
      <c r="AC42" s="755"/>
      <c r="AD42" s="756"/>
      <c r="AE42" s="756"/>
      <c r="AF42" s="757"/>
      <c r="AG42" s="77"/>
      <c r="AH42" s="120"/>
      <c r="AI42" s="172"/>
      <c r="AJ42" s="172"/>
      <c r="AK42" s="620"/>
      <c r="AL42" s="620"/>
      <c r="AM42" s="620"/>
      <c r="AN42" s="15"/>
      <c r="AO42" s="15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77"/>
      <c r="BC42" s="77"/>
      <c r="BD42" s="172"/>
      <c r="BE42" s="172"/>
      <c r="BF42" s="620"/>
      <c r="BG42" s="620"/>
      <c r="BH42" s="620"/>
      <c r="BI42" s="15"/>
      <c r="BJ42" s="15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19"/>
      <c r="BX42" s="120"/>
      <c r="BY42" s="172"/>
      <c r="BZ42" s="172"/>
      <c r="CA42" s="558"/>
      <c r="CB42" s="558"/>
      <c r="CC42" s="172"/>
      <c r="CD42" s="172"/>
      <c r="CE42" s="558"/>
      <c r="CF42" s="558"/>
      <c r="CG42" s="172"/>
      <c r="CH42" s="172"/>
      <c r="CI42" s="558"/>
      <c r="CJ42" s="558"/>
      <c r="CK42" s="153"/>
      <c r="CL42" s="857"/>
      <c r="CM42" s="857"/>
      <c r="CN42" s="857"/>
      <c r="CO42" s="857"/>
      <c r="CP42" s="860"/>
      <c r="CQ42" s="860"/>
      <c r="CR42" s="77"/>
      <c r="CS42" s="857"/>
      <c r="CT42" s="857"/>
      <c r="CU42" s="857"/>
      <c r="CV42" s="857"/>
      <c r="CW42" s="860"/>
      <c r="CX42" s="860"/>
      <c r="CY42" s="119"/>
    </row>
    <row r="43" spans="1:103" ht="7.5" customHeight="1" thickBot="1">
      <c r="A43" s="77"/>
      <c r="B43" s="572"/>
      <c r="C43" s="573"/>
      <c r="D43" s="573"/>
      <c r="E43" s="573"/>
      <c r="F43" s="574"/>
      <c r="G43" s="77"/>
      <c r="H43" s="512"/>
      <c r="I43" s="513"/>
      <c r="J43" s="513"/>
      <c r="K43" s="513"/>
      <c r="L43" s="761"/>
      <c r="M43" s="112"/>
      <c r="N43" s="104"/>
      <c r="O43" s="104"/>
      <c r="P43" s="735"/>
      <c r="Q43" s="735"/>
      <c r="R43" s="104"/>
      <c r="S43" s="104"/>
      <c r="T43" s="111"/>
      <c r="U43" s="126"/>
      <c r="V43" s="77"/>
      <c r="W43" s="712"/>
      <c r="X43" s="713"/>
      <c r="Y43" s="708"/>
      <c r="Z43" s="695"/>
      <c r="AA43" s="695"/>
      <c r="AB43" s="695"/>
      <c r="AC43" s="708"/>
      <c r="AD43" s="695"/>
      <c r="AE43" s="695"/>
      <c r="AF43" s="696"/>
      <c r="AG43" s="77"/>
      <c r="AH43" s="120"/>
      <c r="AI43" s="77"/>
      <c r="AJ43" s="77"/>
      <c r="AK43" s="77"/>
      <c r="AL43" s="77"/>
      <c r="AM43" s="77"/>
      <c r="AN43" s="172" t="s">
        <v>962</v>
      </c>
      <c r="AO43" s="172"/>
      <c r="AP43" s="558"/>
      <c r="AQ43" s="558"/>
      <c r="AR43" s="558"/>
      <c r="AS43" s="585"/>
      <c r="AT43" s="585"/>
      <c r="AU43" s="585"/>
      <c r="AV43" s="585"/>
      <c r="AW43" s="585"/>
      <c r="AX43" s="585"/>
      <c r="AY43" s="558"/>
      <c r="AZ43" s="558"/>
      <c r="BA43" s="558"/>
      <c r="BB43" s="77"/>
      <c r="BC43" s="77"/>
      <c r="BD43" s="77"/>
      <c r="BE43" s="77"/>
      <c r="BF43" s="77"/>
      <c r="BG43" s="77"/>
      <c r="BH43" s="77"/>
      <c r="BI43" s="172" t="s">
        <v>962</v>
      </c>
      <c r="BJ43" s="172"/>
      <c r="BK43" s="558"/>
      <c r="BL43" s="558"/>
      <c r="BM43" s="558"/>
      <c r="BN43" s="585"/>
      <c r="BO43" s="585"/>
      <c r="BP43" s="585"/>
      <c r="BQ43" s="585"/>
      <c r="BR43" s="585"/>
      <c r="BS43" s="585"/>
      <c r="BT43" s="558"/>
      <c r="BU43" s="558"/>
      <c r="BV43" s="558"/>
      <c r="BW43" s="119"/>
      <c r="BX43" s="120"/>
      <c r="BY43" s="172" t="s">
        <v>959</v>
      </c>
      <c r="BZ43" s="172"/>
      <c r="CA43" s="172"/>
      <c r="CB43" s="558"/>
      <c r="CC43" s="558"/>
      <c r="CD43" s="558"/>
      <c r="CE43" s="327" t="s">
        <v>963</v>
      </c>
      <c r="CF43" s="346"/>
      <c r="CG43" s="829"/>
      <c r="CH43" s="830"/>
      <c r="CI43" s="830"/>
      <c r="CJ43" s="831"/>
      <c r="CK43" s="153"/>
      <c r="CL43" s="857" t="s">
        <v>1165</v>
      </c>
      <c r="CM43" s="857"/>
      <c r="CN43" s="857"/>
      <c r="CO43" s="857"/>
      <c r="CP43" s="861"/>
      <c r="CQ43" s="860"/>
      <c r="CR43" s="77"/>
      <c r="CS43" s="857" t="s">
        <v>85</v>
      </c>
      <c r="CT43" s="857"/>
      <c r="CU43" s="857"/>
      <c r="CV43" s="857"/>
      <c r="CW43" s="861"/>
      <c r="CX43" s="860"/>
      <c r="CY43" s="119"/>
    </row>
    <row r="44" spans="1:103" ht="7.5" customHeight="1">
      <c r="A44" s="77"/>
      <c r="B44" s="12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109"/>
      <c r="O44" s="109"/>
      <c r="P44" s="109"/>
      <c r="Q44" s="109"/>
      <c r="R44" s="109"/>
      <c r="S44" s="77"/>
      <c r="T44" s="77"/>
      <c r="U44" s="126"/>
      <c r="V44" s="77"/>
      <c r="W44" s="712"/>
      <c r="X44" s="713"/>
      <c r="Y44" s="708"/>
      <c r="Z44" s="695"/>
      <c r="AA44" s="695"/>
      <c r="AB44" s="695"/>
      <c r="AC44" s="708"/>
      <c r="AD44" s="695"/>
      <c r="AE44" s="695"/>
      <c r="AF44" s="696"/>
      <c r="AG44" s="77"/>
      <c r="AH44" s="120"/>
      <c r="AI44" s="77"/>
      <c r="AJ44" s="77"/>
      <c r="AK44" s="77"/>
      <c r="AL44" s="77"/>
      <c r="AM44" s="77"/>
      <c r="AN44" s="172"/>
      <c r="AO44" s="172"/>
      <c r="AP44" s="558"/>
      <c r="AQ44" s="558"/>
      <c r="AR44" s="558"/>
      <c r="AS44" s="558"/>
      <c r="AT44" s="558"/>
      <c r="AU44" s="558"/>
      <c r="AV44" s="558"/>
      <c r="AW44" s="558"/>
      <c r="AX44" s="558"/>
      <c r="AY44" s="558"/>
      <c r="AZ44" s="558"/>
      <c r="BA44" s="558"/>
      <c r="BB44" s="77"/>
      <c r="BC44" s="77"/>
      <c r="BD44" s="77"/>
      <c r="BE44" s="77"/>
      <c r="BF44" s="77"/>
      <c r="BG44" s="77"/>
      <c r="BH44" s="77"/>
      <c r="BI44" s="172"/>
      <c r="BJ44" s="172"/>
      <c r="BK44" s="558"/>
      <c r="BL44" s="558"/>
      <c r="BM44" s="558"/>
      <c r="BN44" s="558"/>
      <c r="BO44" s="558"/>
      <c r="BP44" s="558"/>
      <c r="BQ44" s="558"/>
      <c r="BR44" s="558"/>
      <c r="BS44" s="558"/>
      <c r="BT44" s="558"/>
      <c r="BU44" s="558"/>
      <c r="BV44" s="558"/>
      <c r="BW44" s="119"/>
      <c r="BX44" s="120"/>
      <c r="BY44" s="172"/>
      <c r="BZ44" s="172"/>
      <c r="CA44" s="172"/>
      <c r="CB44" s="558"/>
      <c r="CC44" s="558"/>
      <c r="CD44" s="558"/>
      <c r="CE44" s="329"/>
      <c r="CF44" s="347"/>
      <c r="CG44" s="832"/>
      <c r="CH44" s="833"/>
      <c r="CI44" s="833"/>
      <c r="CJ44" s="834"/>
      <c r="CK44" s="153"/>
      <c r="CL44" s="857"/>
      <c r="CM44" s="857"/>
      <c r="CN44" s="857"/>
      <c r="CO44" s="857"/>
      <c r="CP44" s="860"/>
      <c r="CQ44" s="860"/>
      <c r="CR44" s="77"/>
      <c r="CS44" s="857"/>
      <c r="CT44" s="857"/>
      <c r="CU44" s="857"/>
      <c r="CV44" s="857"/>
      <c r="CW44" s="860"/>
      <c r="CX44" s="860"/>
      <c r="CY44" s="119"/>
    </row>
    <row r="45" spans="1:103" ht="7.5" customHeight="1">
      <c r="A45" s="77"/>
      <c r="B45" s="12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126"/>
      <c r="V45" s="77"/>
      <c r="W45" s="712"/>
      <c r="X45" s="713"/>
      <c r="Y45" s="708"/>
      <c r="Z45" s="695"/>
      <c r="AA45" s="695"/>
      <c r="AB45" s="695"/>
      <c r="AC45" s="708"/>
      <c r="AD45" s="695"/>
      <c r="AE45" s="695"/>
      <c r="AF45" s="696"/>
      <c r="AG45" s="77"/>
      <c r="AH45" s="120"/>
      <c r="AI45" s="377" t="s">
        <v>298</v>
      </c>
      <c r="AJ45" s="377"/>
      <c r="AK45" s="558"/>
      <c r="AL45" s="558"/>
      <c r="AM45" s="558"/>
      <c r="AN45" s="172" t="s">
        <v>831</v>
      </c>
      <c r="AO45" s="172"/>
      <c r="AP45" s="620"/>
      <c r="AQ45" s="620"/>
      <c r="AR45" s="620"/>
      <c r="AS45" s="622"/>
      <c r="AT45" s="622"/>
      <c r="AU45" s="622"/>
      <c r="AV45" s="622"/>
      <c r="AW45" s="622"/>
      <c r="AX45" s="622"/>
      <c r="AY45" s="620"/>
      <c r="AZ45" s="620"/>
      <c r="BA45" s="620"/>
      <c r="BB45" s="77"/>
      <c r="BC45" s="77"/>
      <c r="BD45" s="377" t="s">
        <v>298</v>
      </c>
      <c r="BE45" s="377"/>
      <c r="BF45" s="558"/>
      <c r="BG45" s="558"/>
      <c r="BH45" s="558"/>
      <c r="BI45" s="172" t="s">
        <v>831</v>
      </c>
      <c r="BJ45" s="172"/>
      <c r="BK45" s="620"/>
      <c r="BL45" s="620"/>
      <c r="BM45" s="620"/>
      <c r="BN45" s="622"/>
      <c r="BO45" s="622"/>
      <c r="BP45" s="622"/>
      <c r="BQ45" s="622"/>
      <c r="BR45" s="622"/>
      <c r="BS45" s="622"/>
      <c r="BT45" s="620"/>
      <c r="BU45" s="620"/>
      <c r="BV45" s="620"/>
      <c r="BW45" s="119"/>
      <c r="BX45" s="120"/>
      <c r="BY45" s="327" t="s">
        <v>961</v>
      </c>
      <c r="BZ45" s="328"/>
      <c r="CA45" s="328"/>
      <c r="CB45" s="558"/>
      <c r="CC45" s="558"/>
      <c r="CD45" s="558"/>
      <c r="CE45" s="327" t="s">
        <v>964</v>
      </c>
      <c r="CF45" s="346"/>
      <c r="CG45" s="829"/>
      <c r="CH45" s="830"/>
      <c r="CI45" s="830"/>
      <c r="CJ45" s="831"/>
      <c r="CK45" s="153"/>
      <c r="CL45" s="857" t="s">
        <v>1166</v>
      </c>
      <c r="CM45" s="857"/>
      <c r="CN45" s="857"/>
      <c r="CO45" s="857"/>
      <c r="CP45" s="861"/>
      <c r="CQ45" s="860"/>
      <c r="CR45" s="77"/>
      <c r="CS45" s="857" t="s">
        <v>86</v>
      </c>
      <c r="CT45" s="857"/>
      <c r="CU45" s="857"/>
      <c r="CV45" s="857"/>
      <c r="CW45" s="861"/>
      <c r="CX45" s="860"/>
      <c r="CY45" s="119"/>
    </row>
    <row r="46" spans="1:103" ht="7.5" customHeight="1">
      <c r="A46" s="77"/>
      <c r="B46" s="740" t="s">
        <v>803</v>
      </c>
      <c r="C46" s="228"/>
      <c r="D46" s="716"/>
      <c r="E46" s="77"/>
      <c r="F46" s="228" t="s">
        <v>724</v>
      </c>
      <c r="G46" s="228"/>
      <c r="H46" s="716"/>
      <c r="I46" s="77"/>
      <c r="J46" s="228" t="s">
        <v>807</v>
      </c>
      <c r="K46" s="228"/>
      <c r="L46" s="716"/>
      <c r="M46" s="77"/>
      <c r="N46" s="228" t="s">
        <v>829</v>
      </c>
      <c r="O46" s="228"/>
      <c r="P46" s="716"/>
      <c r="Q46" s="77"/>
      <c r="R46" s="228" t="s">
        <v>741</v>
      </c>
      <c r="S46" s="228"/>
      <c r="T46" s="716"/>
      <c r="U46" s="126"/>
      <c r="V46" s="77"/>
      <c r="W46" s="712"/>
      <c r="X46" s="713"/>
      <c r="Y46" s="708"/>
      <c r="Z46" s="695"/>
      <c r="AA46" s="695"/>
      <c r="AB46" s="695"/>
      <c r="AC46" s="708"/>
      <c r="AD46" s="695"/>
      <c r="AE46" s="695"/>
      <c r="AF46" s="696"/>
      <c r="AG46" s="77"/>
      <c r="AH46" s="120"/>
      <c r="AI46" s="377"/>
      <c r="AJ46" s="377"/>
      <c r="AK46" s="558"/>
      <c r="AL46" s="558"/>
      <c r="AM46" s="558"/>
      <c r="AN46" s="172"/>
      <c r="AO46" s="172"/>
      <c r="AP46" s="620"/>
      <c r="AQ46" s="620"/>
      <c r="AR46" s="620"/>
      <c r="AS46" s="620"/>
      <c r="AT46" s="620"/>
      <c r="AU46" s="621"/>
      <c r="AV46" s="621"/>
      <c r="AW46" s="621"/>
      <c r="AX46" s="620"/>
      <c r="AY46" s="620"/>
      <c r="AZ46" s="620"/>
      <c r="BA46" s="620"/>
      <c r="BB46" s="77"/>
      <c r="BC46" s="77"/>
      <c r="BD46" s="377"/>
      <c r="BE46" s="377"/>
      <c r="BF46" s="558"/>
      <c r="BG46" s="558"/>
      <c r="BH46" s="558"/>
      <c r="BI46" s="172"/>
      <c r="BJ46" s="172"/>
      <c r="BK46" s="620"/>
      <c r="BL46" s="620"/>
      <c r="BM46" s="620"/>
      <c r="BN46" s="620"/>
      <c r="BO46" s="620"/>
      <c r="BP46" s="621"/>
      <c r="BQ46" s="621"/>
      <c r="BR46" s="621"/>
      <c r="BS46" s="620"/>
      <c r="BT46" s="620"/>
      <c r="BU46" s="620"/>
      <c r="BV46" s="620"/>
      <c r="BW46" s="119"/>
      <c r="BX46" s="120"/>
      <c r="BY46" s="383"/>
      <c r="BZ46" s="384"/>
      <c r="CA46" s="384"/>
      <c r="CB46" s="558"/>
      <c r="CC46" s="558"/>
      <c r="CD46" s="558"/>
      <c r="CE46" s="329"/>
      <c r="CF46" s="347"/>
      <c r="CG46" s="832"/>
      <c r="CH46" s="833"/>
      <c r="CI46" s="833"/>
      <c r="CJ46" s="834"/>
      <c r="CK46" s="77"/>
      <c r="CL46" s="857"/>
      <c r="CM46" s="857"/>
      <c r="CN46" s="857"/>
      <c r="CO46" s="857"/>
      <c r="CP46" s="860"/>
      <c r="CQ46" s="860"/>
      <c r="CR46" s="77"/>
      <c r="CS46" s="857"/>
      <c r="CT46" s="857"/>
      <c r="CU46" s="857"/>
      <c r="CV46" s="857"/>
      <c r="CW46" s="860"/>
      <c r="CX46" s="860"/>
      <c r="CY46" s="119"/>
    </row>
    <row r="47" spans="1:103" ht="7.5" customHeight="1">
      <c r="A47" s="77"/>
      <c r="B47" s="740"/>
      <c r="C47" s="228"/>
      <c r="D47" s="716"/>
      <c r="E47" s="77"/>
      <c r="F47" s="228"/>
      <c r="G47" s="228"/>
      <c r="H47" s="716"/>
      <c r="I47" s="77"/>
      <c r="J47" s="228"/>
      <c r="K47" s="228"/>
      <c r="L47" s="716"/>
      <c r="M47" s="77"/>
      <c r="N47" s="228"/>
      <c r="O47" s="228"/>
      <c r="P47" s="716"/>
      <c r="Q47" s="77"/>
      <c r="R47" s="228"/>
      <c r="S47" s="228"/>
      <c r="T47" s="716"/>
      <c r="U47" s="126"/>
      <c r="V47" s="77"/>
      <c r="W47" s="712"/>
      <c r="X47" s="713"/>
      <c r="Y47" s="708"/>
      <c r="Z47" s="695"/>
      <c r="AA47" s="695"/>
      <c r="AB47" s="695"/>
      <c r="AC47" s="708"/>
      <c r="AD47" s="695"/>
      <c r="AE47" s="695"/>
      <c r="AF47" s="696"/>
      <c r="AG47" s="77"/>
      <c r="AH47" s="120"/>
      <c r="AI47" s="377" t="s">
        <v>963</v>
      </c>
      <c r="AJ47" s="377"/>
      <c r="AK47" s="655"/>
      <c r="AL47" s="655"/>
      <c r="AM47" s="655"/>
      <c r="AN47" s="377" t="s">
        <v>964</v>
      </c>
      <c r="AO47" s="377"/>
      <c r="AP47" s="620"/>
      <c r="AQ47" s="620"/>
      <c r="AR47" s="620"/>
      <c r="AS47" s="645" t="s">
        <v>965</v>
      </c>
      <c r="AT47" s="646"/>
      <c r="AU47" s="649"/>
      <c r="AV47" s="650"/>
      <c r="AW47" s="650"/>
      <c r="AX47" s="653" t="s">
        <v>966</v>
      </c>
      <c r="AY47" s="620"/>
      <c r="AZ47" s="620"/>
      <c r="BA47" s="620"/>
      <c r="BB47" s="77"/>
      <c r="BC47" s="77"/>
      <c r="BD47" s="377" t="s">
        <v>963</v>
      </c>
      <c r="BE47" s="377"/>
      <c r="BF47" s="620"/>
      <c r="BG47" s="620"/>
      <c r="BH47" s="620"/>
      <c r="BI47" s="377" t="s">
        <v>964</v>
      </c>
      <c r="BJ47" s="377"/>
      <c r="BK47" s="620"/>
      <c r="BL47" s="620"/>
      <c r="BM47" s="620"/>
      <c r="BN47" s="645" t="s">
        <v>965</v>
      </c>
      <c r="BO47" s="646"/>
      <c r="BP47" s="649"/>
      <c r="BQ47" s="650"/>
      <c r="BR47" s="650"/>
      <c r="BS47" s="724" t="s">
        <v>966</v>
      </c>
      <c r="BT47" s="620"/>
      <c r="BU47" s="620"/>
      <c r="BV47" s="620"/>
      <c r="BW47" s="119"/>
      <c r="BX47" s="120"/>
      <c r="BY47" s="377" t="s">
        <v>298</v>
      </c>
      <c r="BZ47" s="377"/>
      <c r="CA47" s="377"/>
      <c r="CB47" s="558"/>
      <c r="CC47" s="558"/>
      <c r="CD47" s="558"/>
      <c r="CE47" s="645" t="s">
        <v>965</v>
      </c>
      <c r="CF47" s="645"/>
      <c r="CG47" s="536"/>
      <c r="CH47" s="536"/>
      <c r="CI47" s="536"/>
      <c r="CJ47" s="536"/>
      <c r="CK47" s="77"/>
      <c r="CL47" s="857" t="s">
        <v>1167</v>
      </c>
      <c r="CM47" s="857"/>
      <c r="CN47" s="857"/>
      <c r="CO47" s="857"/>
      <c r="CP47" s="861"/>
      <c r="CQ47" s="860"/>
      <c r="CR47" s="77"/>
      <c r="CS47" s="857" t="s">
        <v>1169</v>
      </c>
      <c r="CT47" s="857"/>
      <c r="CU47" s="857"/>
      <c r="CV47" s="857"/>
      <c r="CW47" s="861"/>
      <c r="CX47" s="860"/>
      <c r="CY47" s="119"/>
    </row>
    <row r="48" spans="1:103" ht="7.5" customHeight="1" thickBot="1">
      <c r="A48" s="77"/>
      <c r="B48" s="12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126"/>
      <c r="V48" s="77"/>
      <c r="W48" s="712"/>
      <c r="X48" s="713"/>
      <c r="Y48" s="708"/>
      <c r="Z48" s="695"/>
      <c r="AA48" s="695"/>
      <c r="AB48" s="695"/>
      <c r="AC48" s="708"/>
      <c r="AD48" s="695"/>
      <c r="AE48" s="695"/>
      <c r="AF48" s="696"/>
      <c r="AG48" s="77"/>
      <c r="AH48" s="120"/>
      <c r="AI48" s="619"/>
      <c r="AJ48" s="619"/>
      <c r="AK48" s="656"/>
      <c r="AL48" s="656"/>
      <c r="AM48" s="656"/>
      <c r="AN48" s="619"/>
      <c r="AO48" s="619"/>
      <c r="AP48" s="621"/>
      <c r="AQ48" s="621"/>
      <c r="AR48" s="620"/>
      <c r="AS48" s="647"/>
      <c r="AT48" s="648"/>
      <c r="AU48" s="651"/>
      <c r="AV48" s="652"/>
      <c r="AW48" s="652"/>
      <c r="AX48" s="654"/>
      <c r="AY48" s="621"/>
      <c r="AZ48" s="621"/>
      <c r="BA48" s="621"/>
      <c r="BB48" s="77"/>
      <c r="BC48" s="77"/>
      <c r="BD48" s="619"/>
      <c r="BE48" s="619"/>
      <c r="BF48" s="621"/>
      <c r="BG48" s="621"/>
      <c r="BH48" s="621"/>
      <c r="BI48" s="619"/>
      <c r="BJ48" s="619"/>
      <c r="BK48" s="621"/>
      <c r="BL48" s="621"/>
      <c r="BM48" s="620"/>
      <c r="BN48" s="647"/>
      <c r="BO48" s="648"/>
      <c r="BP48" s="651"/>
      <c r="BQ48" s="652"/>
      <c r="BR48" s="652"/>
      <c r="BS48" s="794"/>
      <c r="BT48" s="621"/>
      <c r="BU48" s="621"/>
      <c r="BV48" s="621"/>
      <c r="BW48" s="119"/>
      <c r="BX48" s="120"/>
      <c r="BY48" s="377"/>
      <c r="BZ48" s="377"/>
      <c r="CA48" s="377"/>
      <c r="CB48" s="558"/>
      <c r="CC48" s="558"/>
      <c r="CD48" s="558"/>
      <c r="CE48" s="645"/>
      <c r="CF48" s="645"/>
      <c r="CG48" s="536"/>
      <c r="CH48" s="536"/>
      <c r="CI48" s="536"/>
      <c r="CJ48" s="536"/>
      <c r="CK48" s="77"/>
      <c r="CL48" s="857"/>
      <c r="CM48" s="857"/>
      <c r="CN48" s="857"/>
      <c r="CO48" s="857"/>
      <c r="CP48" s="860"/>
      <c r="CQ48" s="860"/>
      <c r="CR48" s="77"/>
      <c r="CS48" s="857"/>
      <c r="CT48" s="857"/>
      <c r="CU48" s="857"/>
      <c r="CV48" s="857"/>
      <c r="CW48" s="860"/>
      <c r="CX48" s="860"/>
      <c r="CY48" s="119"/>
    </row>
    <row r="49" spans="1:103" ht="7.5" customHeight="1">
      <c r="A49" s="77"/>
      <c r="B49" s="12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113"/>
      <c r="P49" s="113"/>
      <c r="Q49" s="113"/>
      <c r="R49" s="113"/>
      <c r="S49" s="113"/>
      <c r="T49" s="77"/>
      <c r="U49" s="126"/>
      <c r="V49" s="77"/>
      <c r="W49" s="712"/>
      <c r="X49" s="713"/>
      <c r="Y49" s="708"/>
      <c r="Z49" s="695"/>
      <c r="AA49" s="695"/>
      <c r="AB49" s="695"/>
      <c r="AC49" s="708"/>
      <c r="AD49" s="695"/>
      <c r="AE49" s="695"/>
      <c r="AF49" s="696"/>
      <c r="AG49" s="77"/>
      <c r="AH49" s="120"/>
      <c r="AI49" s="506" t="s">
        <v>1118</v>
      </c>
      <c r="AJ49" s="507"/>
      <c r="AK49" s="507"/>
      <c r="AL49" s="508"/>
      <c r="AM49" s="643"/>
      <c r="AN49" s="644"/>
      <c r="AO49" s="644"/>
      <c r="AP49" s="644"/>
      <c r="AQ49" s="644"/>
      <c r="AR49" s="77"/>
      <c r="AS49" s="506" t="s">
        <v>1119</v>
      </c>
      <c r="AT49" s="507"/>
      <c r="AU49" s="507"/>
      <c r="AV49" s="508"/>
      <c r="AW49" s="643"/>
      <c r="AX49" s="644"/>
      <c r="AY49" s="644"/>
      <c r="AZ49" s="644"/>
      <c r="BA49" s="644"/>
      <c r="BB49" s="77"/>
      <c r="BC49" s="77"/>
      <c r="BD49" s="506" t="s">
        <v>1118</v>
      </c>
      <c r="BE49" s="507"/>
      <c r="BF49" s="507"/>
      <c r="BG49" s="508"/>
      <c r="BH49" s="643"/>
      <c r="BI49" s="644"/>
      <c r="BJ49" s="644"/>
      <c r="BK49" s="644"/>
      <c r="BL49" s="644"/>
      <c r="BM49" s="77"/>
      <c r="BN49" s="506" t="s">
        <v>1119</v>
      </c>
      <c r="BO49" s="507"/>
      <c r="BP49" s="507"/>
      <c r="BQ49" s="508"/>
      <c r="BR49" s="807"/>
      <c r="BS49" s="644"/>
      <c r="BT49" s="644"/>
      <c r="BU49" s="644"/>
      <c r="BV49" s="644"/>
      <c r="BW49" s="119"/>
      <c r="BX49" s="120"/>
      <c r="BY49" s="77"/>
      <c r="BZ49" s="77"/>
      <c r="CA49" s="645" t="s">
        <v>282</v>
      </c>
      <c r="CB49" s="645"/>
      <c r="CC49" s="645" t="s">
        <v>322</v>
      </c>
      <c r="CD49" s="645"/>
      <c r="CE49" s="645" t="s">
        <v>284</v>
      </c>
      <c r="CF49" s="645"/>
      <c r="CG49" s="645" t="s">
        <v>283</v>
      </c>
      <c r="CH49" s="645"/>
      <c r="CI49" s="645" t="s">
        <v>278</v>
      </c>
      <c r="CJ49" s="645"/>
      <c r="CK49" s="77"/>
      <c r="CL49" s="857" t="s">
        <v>1168</v>
      </c>
      <c r="CM49" s="857"/>
      <c r="CN49" s="857"/>
      <c r="CO49" s="857"/>
      <c r="CP49" s="861"/>
      <c r="CQ49" s="860"/>
      <c r="CR49" s="77"/>
      <c r="CS49" s="857" t="s">
        <v>88</v>
      </c>
      <c r="CT49" s="857"/>
      <c r="CU49" s="857"/>
      <c r="CV49" s="857"/>
      <c r="CW49" s="861"/>
      <c r="CX49" s="860"/>
      <c r="CY49" s="119"/>
    </row>
    <row r="50" spans="1:103" ht="7.5" customHeight="1" thickBot="1">
      <c r="A50" s="77"/>
      <c r="B50" s="127"/>
      <c r="C50" s="77"/>
      <c r="D50" s="77"/>
      <c r="E50" s="77"/>
      <c r="F50" s="228" t="s">
        <v>833</v>
      </c>
      <c r="G50" s="228"/>
      <c r="H50" s="716"/>
      <c r="I50" s="77"/>
      <c r="J50" s="228" t="s">
        <v>1033</v>
      </c>
      <c r="K50" s="228"/>
      <c r="L50" s="716"/>
      <c r="M50" s="77"/>
      <c r="N50" s="228" t="s">
        <v>1085</v>
      </c>
      <c r="O50" s="228"/>
      <c r="P50" s="228"/>
      <c r="Q50" s="716"/>
      <c r="R50" s="113"/>
      <c r="S50" s="113"/>
      <c r="T50" s="77"/>
      <c r="U50" s="126"/>
      <c r="V50" s="77"/>
      <c r="W50" s="712"/>
      <c r="X50" s="713"/>
      <c r="Y50" s="708"/>
      <c r="Z50" s="695"/>
      <c r="AA50" s="695"/>
      <c r="AB50" s="695"/>
      <c r="AC50" s="708"/>
      <c r="AD50" s="695"/>
      <c r="AE50" s="695"/>
      <c r="AF50" s="696"/>
      <c r="AG50" s="77"/>
      <c r="AH50" s="120"/>
      <c r="AI50" s="512"/>
      <c r="AJ50" s="513"/>
      <c r="AK50" s="513"/>
      <c r="AL50" s="514"/>
      <c r="AM50" s="643"/>
      <c r="AN50" s="644"/>
      <c r="AO50" s="644"/>
      <c r="AP50" s="644"/>
      <c r="AQ50" s="644"/>
      <c r="AR50" s="77"/>
      <c r="AS50" s="512"/>
      <c r="AT50" s="513"/>
      <c r="AU50" s="513"/>
      <c r="AV50" s="514"/>
      <c r="AW50" s="643"/>
      <c r="AX50" s="644"/>
      <c r="AY50" s="644"/>
      <c r="AZ50" s="644"/>
      <c r="BA50" s="644"/>
      <c r="BB50" s="77"/>
      <c r="BC50" s="77"/>
      <c r="BD50" s="512"/>
      <c r="BE50" s="513"/>
      <c r="BF50" s="513"/>
      <c r="BG50" s="514"/>
      <c r="BH50" s="643"/>
      <c r="BI50" s="644"/>
      <c r="BJ50" s="644"/>
      <c r="BK50" s="644"/>
      <c r="BL50" s="644"/>
      <c r="BM50" s="77"/>
      <c r="BN50" s="512"/>
      <c r="BO50" s="513"/>
      <c r="BP50" s="513"/>
      <c r="BQ50" s="514"/>
      <c r="BR50" s="807"/>
      <c r="BS50" s="644"/>
      <c r="BT50" s="644"/>
      <c r="BU50" s="644"/>
      <c r="BV50" s="644"/>
      <c r="BW50" s="119"/>
      <c r="BX50" s="120"/>
      <c r="BY50" s="77"/>
      <c r="BZ50" s="77"/>
      <c r="CA50" s="645"/>
      <c r="CB50" s="645"/>
      <c r="CC50" s="645"/>
      <c r="CD50" s="645"/>
      <c r="CE50" s="645"/>
      <c r="CF50" s="645"/>
      <c r="CG50" s="645"/>
      <c r="CH50" s="645"/>
      <c r="CI50" s="645"/>
      <c r="CJ50" s="645"/>
      <c r="CK50" s="77"/>
      <c r="CL50" s="857"/>
      <c r="CM50" s="857"/>
      <c r="CN50" s="857"/>
      <c r="CO50" s="857"/>
      <c r="CP50" s="860"/>
      <c r="CQ50" s="860"/>
      <c r="CR50" s="77"/>
      <c r="CS50" s="857"/>
      <c r="CT50" s="857"/>
      <c r="CU50" s="857"/>
      <c r="CV50" s="857"/>
      <c r="CW50" s="860"/>
      <c r="CX50" s="860"/>
      <c r="CY50" s="119"/>
    </row>
    <row r="51" spans="1:103" ht="7.5" customHeight="1" thickBot="1">
      <c r="A51" s="77"/>
      <c r="B51" s="116"/>
      <c r="C51" s="118"/>
      <c r="D51" s="118"/>
      <c r="E51" s="118"/>
      <c r="F51" s="440"/>
      <c r="G51" s="440"/>
      <c r="H51" s="717"/>
      <c r="I51" s="118"/>
      <c r="J51" s="440"/>
      <c r="K51" s="440"/>
      <c r="L51" s="733"/>
      <c r="M51" s="118"/>
      <c r="N51" s="440"/>
      <c r="O51" s="440"/>
      <c r="P51" s="440"/>
      <c r="Q51" s="717"/>
      <c r="R51" s="118"/>
      <c r="S51" s="118"/>
      <c r="T51" s="118"/>
      <c r="U51" s="117"/>
      <c r="V51" s="77"/>
      <c r="W51" s="714"/>
      <c r="X51" s="715"/>
      <c r="Y51" s="709"/>
      <c r="Z51" s="697"/>
      <c r="AA51" s="697"/>
      <c r="AB51" s="697"/>
      <c r="AC51" s="709"/>
      <c r="AD51" s="697"/>
      <c r="AE51" s="697"/>
      <c r="AF51" s="698"/>
      <c r="AG51" s="77"/>
      <c r="AH51" s="120"/>
      <c r="AI51" s="286" t="s">
        <v>1088</v>
      </c>
      <c r="AJ51" s="286"/>
      <c r="AK51" s="622"/>
      <c r="AL51" s="622"/>
      <c r="AM51" s="172" t="s">
        <v>279</v>
      </c>
      <c r="AN51" s="172"/>
      <c r="AO51" s="623"/>
      <c r="AP51" s="623"/>
      <c r="AQ51" s="623"/>
      <c r="AR51" s="77"/>
      <c r="AS51" s="286" t="s">
        <v>1088</v>
      </c>
      <c r="AT51" s="286"/>
      <c r="AU51" s="622"/>
      <c r="AV51" s="622"/>
      <c r="AW51" s="172" t="s">
        <v>279</v>
      </c>
      <c r="AX51" s="172"/>
      <c r="AY51" s="623"/>
      <c r="AZ51" s="623"/>
      <c r="BA51" s="623"/>
      <c r="BB51" s="77"/>
      <c r="BC51" s="77"/>
      <c r="BD51" s="286" t="s">
        <v>1088</v>
      </c>
      <c r="BE51" s="286"/>
      <c r="BF51" s="622"/>
      <c r="BG51" s="622"/>
      <c r="BH51" s="172" t="s">
        <v>279</v>
      </c>
      <c r="BI51" s="172"/>
      <c r="BJ51" s="623"/>
      <c r="BK51" s="623"/>
      <c r="BL51" s="623"/>
      <c r="BM51" s="77"/>
      <c r="BN51" s="286" t="s">
        <v>1088</v>
      </c>
      <c r="BO51" s="286"/>
      <c r="BP51" s="622"/>
      <c r="BQ51" s="622"/>
      <c r="BR51" s="172" t="s">
        <v>279</v>
      </c>
      <c r="BS51" s="172"/>
      <c r="BT51" s="623"/>
      <c r="BU51" s="623"/>
      <c r="BV51" s="623"/>
      <c r="BW51" s="119"/>
      <c r="BX51" s="120"/>
      <c r="BY51" s="645" t="s">
        <v>962</v>
      </c>
      <c r="BZ51" s="645"/>
      <c r="CA51" s="558"/>
      <c r="CB51" s="558"/>
      <c r="CC51" s="558"/>
      <c r="CD51" s="558"/>
      <c r="CE51" s="558"/>
      <c r="CF51" s="558"/>
      <c r="CG51" s="558"/>
      <c r="CH51" s="558"/>
      <c r="CI51" s="558"/>
      <c r="CJ51" s="558"/>
      <c r="CK51" s="77"/>
      <c r="CL51" s="857" t="s">
        <v>1172</v>
      </c>
      <c r="CM51" s="857"/>
      <c r="CN51" s="857"/>
      <c r="CO51" s="857"/>
      <c r="CP51" s="861"/>
      <c r="CQ51" s="860"/>
      <c r="CR51" s="77"/>
      <c r="CS51" s="857" t="s">
        <v>89</v>
      </c>
      <c r="CT51" s="857"/>
      <c r="CU51" s="857"/>
      <c r="CV51" s="857"/>
      <c r="CW51" s="861"/>
      <c r="CX51" s="860"/>
      <c r="CY51" s="119"/>
    </row>
    <row r="52" spans="1:103" ht="7.5" customHeight="1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0"/>
      <c r="AI52" s="172"/>
      <c r="AJ52" s="172"/>
      <c r="AK52" s="620"/>
      <c r="AL52" s="620"/>
      <c r="AM52" s="172"/>
      <c r="AN52" s="172"/>
      <c r="AO52" s="623"/>
      <c r="AP52" s="623"/>
      <c r="AQ52" s="623"/>
      <c r="AR52" s="77"/>
      <c r="AS52" s="172"/>
      <c r="AT52" s="172"/>
      <c r="AU52" s="620"/>
      <c r="AV52" s="620"/>
      <c r="AW52" s="172"/>
      <c r="AX52" s="172"/>
      <c r="AY52" s="623"/>
      <c r="AZ52" s="623"/>
      <c r="BA52" s="623"/>
      <c r="BB52" s="77"/>
      <c r="BC52" s="77"/>
      <c r="BD52" s="172"/>
      <c r="BE52" s="172"/>
      <c r="BF52" s="620"/>
      <c r="BG52" s="620"/>
      <c r="BH52" s="172"/>
      <c r="BI52" s="172"/>
      <c r="BJ52" s="623"/>
      <c r="BK52" s="623"/>
      <c r="BL52" s="623"/>
      <c r="BM52" s="77"/>
      <c r="BN52" s="172"/>
      <c r="BO52" s="172"/>
      <c r="BP52" s="620"/>
      <c r="BQ52" s="620"/>
      <c r="BR52" s="172"/>
      <c r="BS52" s="172"/>
      <c r="BT52" s="623"/>
      <c r="BU52" s="623"/>
      <c r="BV52" s="623"/>
      <c r="BW52" s="119"/>
      <c r="BX52" s="120"/>
      <c r="BY52" s="645"/>
      <c r="BZ52" s="645"/>
      <c r="CA52" s="558"/>
      <c r="CB52" s="558"/>
      <c r="CC52" s="558"/>
      <c r="CD52" s="558"/>
      <c r="CE52" s="558"/>
      <c r="CF52" s="558"/>
      <c r="CG52" s="558"/>
      <c r="CH52" s="558"/>
      <c r="CI52" s="558"/>
      <c r="CJ52" s="558"/>
      <c r="CK52" s="77"/>
      <c r="CL52" s="857"/>
      <c r="CM52" s="857"/>
      <c r="CN52" s="857"/>
      <c r="CO52" s="857"/>
      <c r="CP52" s="860"/>
      <c r="CQ52" s="860"/>
      <c r="CR52" s="77"/>
      <c r="CS52" s="857"/>
      <c r="CT52" s="857"/>
      <c r="CU52" s="857"/>
      <c r="CV52" s="857"/>
      <c r="CW52" s="860"/>
      <c r="CX52" s="860"/>
      <c r="CY52" s="119"/>
    </row>
    <row r="53" spans="34:103" ht="7.5" customHeight="1" thickBot="1">
      <c r="AH53" s="120"/>
      <c r="AI53" s="172" t="s">
        <v>282</v>
      </c>
      <c r="AJ53" s="558"/>
      <c r="AK53" s="558"/>
      <c r="AL53" s="172" t="s">
        <v>283</v>
      </c>
      <c r="AM53" s="558"/>
      <c r="AN53" s="558"/>
      <c r="AO53" s="172" t="s">
        <v>284</v>
      </c>
      <c r="AP53" s="558"/>
      <c r="AQ53" s="558"/>
      <c r="AR53" s="4"/>
      <c r="AS53" s="172" t="s">
        <v>282</v>
      </c>
      <c r="AT53" s="558"/>
      <c r="AU53" s="558"/>
      <c r="AV53" s="172" t="s">
        <v>283</v>
      </c>
      <c r="AW53" s="558"/>
      <c r="AX53" s="558"/>
      <c r="AY53" s="172" t="s">
        <v>284</v>
      </c>
      <c r="AZ53" s="558"/>
      <c r="BA53" s="558"/>
      <c r="BB53" s="77"/>
      <c r="BC53" s="77"/>
      <c r="BD53" s="172" t="s">
        <v>282</v>
      </c>
      <c r="BE53" s="558"/>
      <c r="BF53" s="558"/>
      <c r="BG53" s="172" t="s">
        <v>283</v>
      </c>
      <c r="BH53" s="558"/>
      <c r="BI53" s="558"/>
      <c r="BJ53" s="172" t="s">
        <v>284</v>
      </c>
      <c r="BK53" s="558"/>
      <c r="BL53" s="558"/>
      <c r="BM53" s="4">
        <f>IF(INDEX(Таблицы!BF518:BF555,Таблицы!Y520,1)="","",INDEX(Таблицы!BF518:BF555,Таблицы!Y520,1))</f>
      </c>
      <c r="BN53" s="172" t="s">
        <v>282</v>
      </c>
      <c r="BO53" s="558"/>
      <c r="BP53" s="558"/>
      <c r="BQ53" s="172" t="s">
        <v>283</v>
      </c>
      <c r="BR53" s="558"/>
      <c r="BS53" s="558"/>
      <c r="BT53" s="172" t="s">
        <v>284</v>
      </c>
      <c r="BU53" s="558"/>
      <c r="BV53" s="558"/>
      <c r="BW53" s="119"/>
      <c r="BX53" s="120"/>
      <c r="BY53" s="645" t="s">
        <v>831</v>
      </c>
      <c r="BZ53" s="645"/>
      <c r="CA53" s="620"/>
      <c r="CB53" s="620"/>
      <c r="CC53" s="620"/>
      <c r="CD53" s="620"/>
      <c r="CE53" s="620"/>
      <c r="CF53" s="620"/>
      <c r="CG53" s="620"/>
      <c r="CH53" s="620"/>
      <c r="CI53" s="620"/>
      <c r="CJ53" s="620"/>
      <c r="CK53" s="77"/>
      <c r="CL53" s="857" t="s">
        <v>80</v>
      </c>
      <c r="CM53" s="857"/>
      <c r="CN53" s="857"/>
      <c r="CO53" s="857"/>
      <c r="CP53" s="861"/>
      <c r="CQ53" s="860"/>
      <c r="CR53" s="77"/>
      <c r="CS53" s="857" t="s">
        <v>90</v>
      </c>
      <c r="CT53" s="857"/>
      <c r="CU53" s="857"/>
      <c r="CV53" s="857"/>
      <c r="CW53" s="861"/>
      <c r="CX53" s="860"/>
      <c r="CY53" s="119"/>
    </row>
    <row r="54" spans="2:103" ht="7.5" customHeight="1">
      <c r="B54" s="569" t="s">
        <v>1108</v>
      </c>
      <c r="C54" s="570"/>
      <c r="D54" s="570"/>
      <c r="E54" s="570"/>
      <c r="F54" s="570"/>
      <c r="G54" s="570"/>
      <c r="H54" s="571"/>
      <c r="I54" s="694" t="s">
        <v>1111</v>
      </c>
      <c r="J54" s="688" t="s">
        <v>1109</v>
      </c>
      <c r="K54" s="689"/>
      <c r="L54" s="689"/>
      <c r="M54" s="689"/>
      <c r="N54" s="689"/>
      <c r="O54" s="689"/>
      <c r="P54" s="690"/>
      <c r="Q54" s="683"/>
      <c r="R54" s="684"/>
      <c r="S54" s="687" t="s">
        <v>1090</v>
      </c>
      <c r="T54" s="688" t="s">
        <v>1110</v>
      </c>
      <c r="U54" s="689"/>
      <c r="V54" s="689"/>
      <c r="W54" s="689"/>
      <c r="X54" s="689"/>
      <c r="Y54" s="683"/>
      <c r="Z54" s="684"/>
      <c r="AA54" s="699" t="s">
        <v>1115</v>
      </c>
      <c r="AC54" s="108"/>
      <c r="AH54" s="120"/>
      <c r="AI54" s="172"/>
      <c r="AJ54" s="558"/>
      <c r="AK54" s="558"/>
      <c r="AL54" s="172"/>
      <c r="AM54" s="558"/>
      <c r="AN54" s="558"/>
      <c r="AO54" s="172"/>
      <c r="AP54" s="558"/>
      <c r="AQ54" s="558"/>
      <c r="AR54" s="4"/>
      <c r="AS54" s="172"/>
      <c r="AT54" s="558"/>
      <c r="AU54" s="558"/>
      <c r="AV54" s="172"/>
      <c r="AW54" s="558"/>
      <c r="AX54" s="558"/>
      <c r="AY54" s="172"/>
      <c r="AZ54" s="558"/>
      <c r="BA54" s="558"/>
      <c r="BB54" s="77"/>
      <c r="BC54" s="77"/>
      <c r="BD54" s="172"/>
      <c r="BE54" s="558"/>
      <c r="BF54" s="558"/>
      <c r="BG54" s="172"/>
      <c r="BH54" s="558"/>
      <c r="BI54" s="558"/>
      <c r="BJ54" s="172"/>
      <c r="BK54" s="558"/>
      <c r="BL54" s="558"/>
      <c r="BM54" s="4"/>
      <c r="BN54" s="172"/>
      <c r="BO54" s="558"/>
      <c r="BP54" s="558"/>
      <c r="BQ54" s="172"/>
      <c r="BR54" s="558"/>
      <c r="BS54" s="558"/>
      <c r="BT54" s="172"/>
      <c r="BU54" s="558"/>
      <c r="BV54" s="558"/>
      <c r="BW54" s="119"/>
      <c r="BX54" s="120"/>
      <c r="BY54" s="645"/>
      <c r="BZ54" s="645"/>
      <c r="CA54" s="620"/>
      <c r="CB54" s="620"/>
      <c r="CC54" s="620"/>
      <c r="CD54" s="620"/>
      <c r="CE54" s="620"/>
      <c r="CF54" s="620"/>
      <c r="CG54" s="620"/>
      <c r="CH54" s="620"/>
      <c r="CI54" s="620"/>
      <c r="CJ54" s="620"/>
      <c r="CK54" s="77"/>
      <c r="CL54" s="857"/>
      <c r="CM54" s="857"/>
      <c r="CN54" s="857"/>
      <c r="CO54" s="857"/>
      <c r="CP54" s="860"/>
      <c r="CQ54" s="860"/>
      <c r="CR54" s="77"/>
      <c r="CS54" s="857"/>
      <c r="CT54" s="857"/>
      <c r="CU54" s="857"/>
      <c r="CV54" s="857"/>
      <c r="CW54" s="860"/>
      <c r="CX54" s="860"/>
      <c r="CY54" s="119"/>
    </row>
    <row r="55" spans="2:103" ht="7.5" customHeight="1" thickBot="1">
      <c r="B55" s="572"/>
      <c r="C55" s="573"/>
      <c r="D55" s="573"/>
      <c r="E55" s="573"/>
      <c r="F55" s="573"/>
      <c r="G55" s="573"/>
      <c r="H55" s="574"/>
      <c r="I55" s="694"/>
      <c r="J55" s="691"/>
      <c r="K55" s="692"/>
      <c r="L55" s="692"/>
      <c r="M55" s="692"/>
      <c r="N55" s="692"/>
      <c r="O55" s="692"/>
      <c r="P55" s="693"/>
      <c r="Q55" s="685"/>
      <c r="R55" s="686"/>
      <c r="S55" s="687"/>
      <c r="T55" s="691"/>
      <c r="U55" s="692"/>
      <c r="V55" s="692"/>
      <c r="W55" s="692"/>
      <c r="X55" s="692"/>
      <c r="Y55" s="685"/>
      <c r="Z55" s="686"/>
      <c r="AA55" s="699"/>
      <c r="AC55" s="108"/>
      <c r="AH55" s="120"/>
      <c r="AI55" s="634"/>
      <c r="AJ55" s="634"/>
      <c r="AK55" s="634"/>
      <c r="AL55" s="634"/>
      <c r="AM55" s="634"/>
      <c r="AN55" s="634"/>
      <c r="AO55" s="634"/>
      <c r="AP55" s="634"/>
      <c r="AQ55" s="634"/>
      <c r="AR55" s="135"/>
      <c r="AS55" s="634"/>
      <c r="AT55" s="634"/>
      <c r="AU55" s="634"/>
      <c r="AV55" s="634"/>
      <c r="AW55" s="634"/>
      <c r="AX55" s="634"/>
      <c r="AY55" s="634"/>
      <c r="AZ55" s="634"/>
      <c r="BA55" s="634"/>
      <c r="BB55" s="77"/>
      <c r="BC55" s="77"/>
      <c r="BD55" s="634"/>
      <c r="BE55" s="634"/>
      <c r="BF55" s="634"/>
      <c r="BG55" s="634"/>
      <c r="BH55" s="634"/>
      <c r="BI55" s="634"/>
      <c r="BJ55" s="634"/>
      <c r="BK55" s="634"/>
      <c r="BL55" s="634"/>
      <c r="BM55" s="135"/>
      <c r="BN55" s="634"/>
      <c r="BO55" s="634"/>
      <c r="BP55" s="634"/>
      <c r="BQ55" s="634"/>
      <c r="BR55" s="634"/>
      <c r="BS55" s="634"/>
      <c r="BT55" s="634"/>
      <c r="BU55" s="634"/>
      <c r="BV55" s="634"/>
      <c r="BW55" s="119"/>
      <c r="BX55" s="120"/>
      <c r="BY55" s="510" t="s">
        <v>97</v>
      </c>
      <c r="BZ55" s="510"/>
      <c r="CA55" s="510"/>
      <c r="CB55" s="510"/>
      <c r="CC55" s="835"/>
      <c r="CD55" s="835"/>
      <c r="CE55" s="835"/>
      <c r="CF55" s="835"/>
      <c r="CG55" s="835"/>
      <c r="CH55" s="835"/>
      <c r="CI55" s="835"/>
      <c r="CJ55" s="835"/>
      <c r="CK55" s="77"/>
      <c r="CL55" s="857" t="s">
        <v>81</v>
      </c>
      <c r="CM55" s="857"/>
      <c r="CN55" s="857"/>
      <c r="CO55" s="857"/>
      <c r="CP55" s="861"/>
      <c r="CQ55" s="860"/>
      <c r="CR55" s="77"/>
      <c r="CS55" s="857" t="s">
        <v>91</v>
      </c>
      <c r="CT55" s="857"/>
      <c r="CU55" s="857"/>
      <c r="CV55" s="857"/>
      <c r="CW55" s="861"/>
      <c r="CX55" s="860"/>
      <c r="CY55" s="119"/>
    </row>
    <row r="56" spans="1:103" ht="7.5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120"/>
      <c r="AI56" s="634"/>
      <c r="AJ56" s="634"/>
      <c r="AK56" s="634"/>
      <c r="AL56" s="634"/>
      <c r="AM56" s="634"/>
      <c r="AN56" s="634"/>
      <c r="AO56" s="634"/>
      <c r="AP56" s="634"/>
      <c r="AQ56" s="634"/>
      <c r="AR56" s="135"/>
      <c r="AS56" s="634"/>
      <c r="AT56" s="634"/>
      <c r="AU56" s="634"/>
      <c r="AV56" s="634"/>
      <c r="AW56" s="634"/>
      <c r="AX56" s="634"/>
      <c r="AY56" s="634"/>
      <c r="AZ56" s="634"/>
      <c r="BA56" s="634"/>
      <c r="BB56" s="77"/>
      <c r="BC56" s="77"/>
      <c r="BD56" s="634"/>
      <c r="BE56" s="634"/>
      <c r="BF56" s="634"/>
      <c r="BG56" s="634"/>
      <c r="BH56" s="634"/>
      <c r="BI56" s="634"/>
      <c r="BJ56" s="634"/>
      <c r="BK56" s="634"/>
      <c r="BL56" s="634"/>
      <c r="BM56" s="135"/>
      <c r="BN56" s="634"/>
      <c r="BO56" s="634"/>
      <c r="BP56" s="634"/>
      <c r="BQ56" s="634"/>
      <c r="BR56" s="634"/>
      <c r="BS56" s="634"/>
      <c r="BT56" s="634"/>
      <c r="BU56" s="634"/>
      <c r="BV56" s="634"/>
      <c r="BW56" s="119"/>
      <c r="BX56" s="120"/>
      <c r="BY56" s="510"/>
      <c r="BZ56" s="510"/>
      <c r="CA56" s="510"/>
      <c r="CB56" s="510"/>
      <c r="CC56" s="835"/>
      <c r="CD56" s="835"/>
      <c r="CE56" s="835"/>
      <c r="CF56" s="835"/>
      <c r="CG56" s="835"/>
      <c r="CH56" s="835"/>
      <c r="CI56" s="835"/>
      <c r="CJ56" s="835"/>
      <c r="CK56" s="77"/>
      <c r="CL56" s="857"/>
      <c r="CM56" s="857"/>
      <c r="CN56" s="857"/>
      <c r="CO56" s="857"/>
      <c r="CP56" s="860"/>
      <c r="CQ56" s="860"/>
      <c r="CR56" s="77"/>
      <c r="CS56" s="857"/>
      <c r="CT56" s="857"/>
      <c r="CU56" s="857"/>
      <c r="CV56" s="857"/>
      <c r="CW56" s="860"/>
      <c r="CX56" s="860"/>
      <c r="CY56" s="119"/>
    </row>
    <row r="57" spans="1:103" ht="7.5" customHeight="1">
      <c r="A57" s="77"/>
      <c r="B57" s="77"/>
      <c r="C57" s="77"/>
      <c r="D57" s="77"/>
      <c r="E57" s="77"/>
      <c r="F57" s="77"/>
      <c r="G57" s="77"/>
      <c r="H57" s="77"/>
      <c r="I57" s="707" t="s">
        <v>1116</v>
      </c>
      <c r="J57" s="688" t="s">
        <v>1109</v>
      </c>
      <c r="K57" s="689"/>
      <c r="L57" s="689"/>
      <c r="M57" s="689"/>
      <c r="N57" s="689"/>
      <c r="O57" s="689"/>
      <c r="P57" s="690"/>
      <c r="Q57" s="683"/>
      <c r="R57" s="684"/>
      <c r="S57" s="687" t="s">
        <v>1090</v>
      </c>
      <c r="T57" s="688" t="s">
        <v>1110</v>
      </c>
      <c r="U57" s="689"/>
      <c r="V57" s="689"/>
      <c r="W57" s="689"/>
      <c r="X57" s="689"/>
      <c r="Y57" s="683"/>
      <c r="Z57" s="684"/>
      <c r="AA57" s="699" t="s">
        <v>1112</v>
      </c>
      <c r="AB57" s="77"/>
      <c r="AC57" s="77"/>
      <c r="AD57" s="77"/>
      <c r="AE57" s="77"/>
      <c r="AF57" s="77"/>
      <c r="AG57" s="77"/>
      <c r="AH57" s="120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119"/>
      <c r="BX57" s="120"/>
      <c r="BY57" s="835"/>
      <c r="BZ57" s="835"/>
      <c r="CA57" s="835"/>
      <c r="CB57" s="835"/>
      <c r="CC57" s="835"/>
      <c r="CD57" s="835"/>
      <c r="CE57" s="835"/>
      <c r="CF57" s="835"/>
      <c r="CG57" s="835"/>
      <c r="CH57" s="835"/>
      <c r="CI57" s="835"/>
      <c r="CJ57" s="835"/>
      <c r="CK57" s="77"/>
      <c r="CL57" s="857" t="s">
        <v>82</v>
      </c>
      <c r="CM57" s="857"/>
      <c r="CN57" s="857"/>
      <c r="CO57" s="857"/>
      <c r="CP57" s="861"/>
      <c r="CQ57" s="860"/>
      <c r="CR57" s="77"/>
      <c r="CS57" s="857"/>
      <c r="CT57" s="857"/>
      <c r="CU57" s="857"/>
      <c r="CV57" s="857"/>
      <c r="CW57" s="861"/>
      <c r="CX57" s="860"/>
      <c r="CY57" s="119"/>
    </row>
    <row r="58" spans="1:103" ht="7.5" customHeight="1">
      <c r="A58" s="77"/>
      <c r="B58" s="77"/>
      <c r="C58" s="77"/>
      <c r="D58" s="77"/>
      <c r="E58" s="77"/>
      <c r="F58" s="77"/>
      <c r="G58" s="77"/>
      <c r="H58" s="77"/>
      <c r="I58" s="707"/>
      <c r="J58" s="691"/>
      <c r="K58" s="692"/>
      <c r="L58" s="692"/>
      <c r="M58" s="692"/>
      <c r="N58" s="692"/>
      <c r="O58" s="692"/>
      <c r="P58" s="693"/>
      <c r="Q58" s="685"/>
      <c r="R58" s="686"/>
      <c r="S58" s="687"/>
      <c r="T58" s="691"/>
      <c r="U58" s="692"/>
      <c r="V58" s="692"/>
      <c r="W58" s="692"/>
      <c r="X58" s="692"/>
      <c r="Y58" s="685"/>
      <c r="Z58" s="686"/>
      <c r="AA58" s="699"/>
      <c r="AB58" s="77"/>
      <c r="AC58" s="77"/>
      <c r="AD58" s="77"/>
      <c r="AE58" s="77"/>
      <c r="AF58" s="77"/>
      <c r="AG58" s="77"/>
      <c r="AH58" s="142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44"/>
      <c r="BX58" s="120"/>
      <c r="BY58" s="835"/>
      <c r="BZ58" s="835"/>
      <c r="CA58" s="835"/>
      <c r="CB58" s="835"/>
      <c r="CC58" s="835"/>
      <c r="CD58" s="835"/>
      <c r="CE58" s="835"/>
      <c r="CF58" s="835"/>
      <c r="CG58" s="835"/>
      <c r="CH58" s="835"/>
      <c r="CI58" s="835"/>
      <c r="CJ58" s="835"/>
      <c r="CK58" s="77"/>
      <c r="CL58" s="857"/>
      <c r="CM58" s="857"/>
      <c r="CN58" s="857"/>
      <c r="CO58" s="857"/>
      <c r="CP58" s="860"/>
      <c r="CQ58" s="860"/>
      <c r="CR58" s="77"/>
      <c r="CS58" s="857"/>
      <c r="CT58" s="857"/>
      <c r="CU58" s="857"/>
      <c r="CV58" s="857"/>
      <c r="CW58" s="860"/>
      <c r="CX58" s="860"/>
      <c r="CY58" s="119"/>
    </row>
    <row r="59" spans="1:103" ht="7.5" customHeight="1" thickBo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150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51"/>
      <c r="BX59" s="120"/>
      <c r="BY59" s="835"/>
      <c r="BZ59" s="835"/>
      <c r="CA59" s="835"/>
      <c r="CB59" s="835"/>
      <c r="CC59" s="835"/>
      <c r="CD59" s="835"/>
      <c r="CE59" s="835"/>
      <c r="CF59" s="835"/>
      <c r="CG59" s="835"/>
      <c r="CH59" s="835"/>
      <c r="CI59" s="835"/>
      <c r="CJ59" s="835"/>
      <c r="CK59" s="77"/>
      <c r="CL59" s="510" t="s">
        <v>96</v>
      </c>
      <c r="CM59" s="510"/>
      <c r="CN59" s="510"/>
      <c r="CO59" s="510"/>
      <c r="CP59" s="835"/>
      <c r="CQ59" s="835"/>
      <c r="CR59" s="835"/>
      <c r="CS59" s="835"/>
      <c r="CT59" s="835"/>
      <c r="CU59" s="835"/>
      <c r="CV59" s="835"/>
      <c r="CW59" s="835"/>
      <c r="CX59" s="835"/>
      <c r="CY59" s="119"/>
    </row>
    <row r="60" spans="1:103" ht="7.5" customHeight="1" thickBot="1">
      <c r="A60" s="77"/>
      <c r="B60" s="77"/>
      <c r="C60" s="77"/>
      <c r="D60" s="77"/>
      <c r="E60" s="77"/>
      <c r="F60" s="77"/>
      <c r="G60" s="77"/>
      <c r="H60" s="77"/>
      <c r="I60" s="700" t="s">
        <v>1114</v>
      </c>
      <c r="J60" s="688" t="s">
        <v>1113</v>
      </c>
      <c r="K60" s="689"/>
      <c r="L60" s="689"/>
      <c r="M60" s="689"/>
      <c r="N60" s="689"/>
      <c r="O60" s="689"/>
      <c r="P60" s="689"/>
      <c r="Q60" s="689"/>
      <c r="R60" s="689"/>
      <c r="S60" s="689"/>
      <c r="T60" s="690"/>
      <c r="U60" s="683"/>
      <c r="V60" s="684"/>
      <c r="W60" s="700" t="s">
        <v>1106</v>
      </c>
      <c r="X60" s="701">
        <f>ROUNDDOWN(((Q54-Y54)-(Q57-Y57)*U60),0)</f>
        <v>0</v>
      </c>
      <c r="Y60" s="702"/>
      <c r="Z60" s="703"/>
      <c r="AA60" s="77"/>
      <c r="AB60" s="77"/>
      <c r="AC60" s="77"/>
      <c r="AD60" s="77"/>
      <c r="AE60" s="77"/>
      <c r="AF60" s="77"/>
      <c r="AG60" s="77"/>
      <c r="AH60" s="120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119"/>
      <c r="BX60" s="120"/>
      <c r="BY60" s="835"/>
      <c r="BZ60" s="835"/>
      <c r="CA60" s="835"/>
      <c r="CB60" s="835"/>
      <c r="CC60" s="835"/>
      <c r="CD60" s="835"/>
      <c r="CE60" s="835"/>
      <c r="CF60" s="835"/>
      <c r="CG60" s="835"/>
      <c r="CH60" s="835"/>
      <c r="CI60" s="835"/>
      <c r="CJ60" s="835"/>
      <c r="CK60" s="77"/>
      <c r="CL60" s="510"/>
      <c r="CM60" s="510"/>
      <c r="CN60" s="510"/>
      <c r="CO60" s="510"/>
      <c r="CP60" s="835"/>
      <c r="CQ60" s="835"/>
      <c r="CR60" s="835"/>
      <c r="CS60" s="835"/>
      <c r="CT60" s="835"/>
      <c r="CU60" s="835"/>
      <c r="CV60" s="835"/>
      <c r="CW60" s="835"/>
      <c r="CX60" s="835"/>
      <c r="CY60" s="119"/>
    </row>
    <row r="61" spans="1:103" ht="7.5" customHeight="1" thickBot="1">
      <c r="A61" s="77"/>
      <c r="B61" s="77"/>
      <c r="C61" s="77"/>
      <c r="D61" s="77"/>
      <c r="E61" s="77"/>
      <c r="F61" s="77"/>
      <c r="G61" s="77"/>
      <c r="H61" s="77"/>
      <c r="I61" s="700"/>
      <c r="J61" s="691"/>
      <c r="K61" s="692"/>
      <c r="L61" s="692"/>
      <c r="M61" s="692"/>
      <c r="N61" s="692"/>
      <c r="O61" s="692"/>
      <c r="P61" s="692"/>
      <c r="Q61" s="692"/>
      <c r="R61" s="692"/>
      <c r="S61" s="692"/>
      <c r="T61" s="693"/>
      <c r="U61" s="685"/>
      <c r="V61" s="686"/>
      <c r="W61" s="700"/>
      <c r="X61" s="704"/>
      <c r="Y61" s="705"/>
      <c r="Z61" s="706"/>
      <c r="AA61" s="77"/>
      <c r="AB61" s="77"/>
      <c r="AC61" s="77"/>
      <c r="AD61" s="77"/>
      <c r="AE61" s="77"/>
      <c r="AF61" s="77"/>
      <c r="AG61" s="77"/>
      <c r="AH61" s="120"/>
      <c r="AI61" s="613" t="s">
        <v>1146</v>
      </c>
      <c r="AJ61" s="614"/>
      <c r="AK61" s="614"/>
      <c r="AL61" s="614"/>
      <c r="AM61" s="614"/>
      <c r="AN61" s="811"/>
      <c r="AO61" s="606"/>
      <c r="AP61" s="606"/>
      <c r="AQ61" s="606"/>
      <c r="AR61" s="606"/>
      <c r="AS61" s="606"/>
      <c r="AT61" s="606"/>
      <c r="AU61" s="606"/>
      <c r="AV61" s="606"/>
      <c r="AW61" s="607"/>
      <c r="AX61" s="639" t="s">
        <v>929</v>
      </c>
      <c r="AY61" s="377"/>
      <c r="AZ61" s="522"/>
      <c r="BA61" s="522"/>
      <c r="BB61" s="77"/>
      <c r="BC61" s="77"/>
      <c r="BD61" s="613" t="s">
        <v>1147</v>
      </c>
      <c r="BE61" s="614"/>
      <c r="BF61" s="614"/>
      <c r="BG61" s="614"/>
      <c r="BH61" s="614"/>
      <c r="BI61" s="811"/>
      <c r="BJ61" s="606"/>
      <c r="BK61" s="606"/>
      <c r="BL61" s="606"/>
      <c r="BM61" s="606"/>
      <c r="BN61" s="606"/>
      <c r="BO61" s="606"/>
      <c r="BP61" s="606"/>
      <c r="BQ61" s="606"/>
      <c r="BR61" s="607"/>
      <c r="BS61" s="639" t="s">
        <v>929</v>
      </c>
      <c r="BT61" s="377"/>
      <c r="BU61" s="522"/>
      <c r="BV61" s="522"/>
      <c r="BW61" s="119"/>
      <c r="BX61" s="120"/>
      <c r="BY61" s="510" t="s">
        <v>1161</v>
      </c>
      <c r="BZ61" s="510"/>
      <c r="CA61" s="510"/>
      <c r="CB61" s="510"/>
      <c r="CC61" s="510"/>
      <c r="CD61" s="510"/>
      <c r="CE61" s="836"/>
      <c r="CF61" s="836"/>
      <c r="CG61" s="836"/>
      <c r="CH61" s="836"/>
      <c r="CI61" s="836"/>
      <c r="CJ61" s="836"/>
      <c r="CK61" s="77"/>
      <c r="CL61" s="510" t="s">
        <v>102</v>
      </c>
      <c r="CM61" s="510"/>
      <c r="CN61" s="510"/>
      <c r="CO61" s="510"/>
      <c r="CP61" s="835"/>
      <c r="CQ61" s="835"/>
      <c r="CR61" s="835"/>
      <c r="CS61" s="835"/>
      <c r="CT61" s="835"/>
      <c r="CU61" s="835"/>
      <c r="CV61" s="835"/>
      <c r="CW61" s="835"/>
      <c r="CX61" s="835"/>
      <c r="CY61" s="119"/>
    </row>
    <row r="62" spans="1:103" ht="7.5" customHeight="1">
      <c r="A62" s="77"/>
      <c r="B62" s="77"/>
      <c r="C62" s="77"/>
      <c r="D62" s="77"/>
      <c r="E62" s="77"/>
      <c r="F62" s="77"/>
      <c r="G62" s="77"/>
      <c r="H62" s="77"/>
      <c r="I62" s="108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8"/>
      <c r="V62" s="138"/>
      <c r="W62" s="108"/>
      <c r="X62" s="136"/>
      <c r="Y62" s="136"/>
      <c r="Z62" s="136"/>
      <c r="AA62" s="77"/>
      <c r="AB62" s="77"/>
      <c r="AC62" s="77"/>
      <c r="AD62" s="77"/>
      <c r="AE62" s="77"/>
      <c r="AF62" s="77"/>
      <c r="AG62" s="77"/>
      <c r="AH62" s="120"/>
      <c r="AI62" s="615"/>
      <c r="AJ62" s="616"/>
      <c r="AK62" s="616"/>
      <c r="AL62" s="616"/>
      <c r="AM62" s="616"/>
      <c r="AN62" s="812"/>
      <c r="AO62" s="581"/>
      <c r="AP62" s="581"/>
      <c r="AQ62" s="581"/>
      <c r="AR62" s="581"/>
      <c r="AS62" s="581"/>
      <c r="AT62" s="581"/>
      <c r="AU62" s="581"/>
      <c r="AV62" s="581"/>
      <c r="AW62" s="609"/>
      <c r="AX62" s="639"/>
      <c r="AY62" s="377"/>
      <c r="AZ62" s="522"/>
      <c r="BA62" s="522"/>
      <c r="BB62" s="77"/>
      <c r="BC62" s="77"/>
      <c r="BD62" s="615"/>
      <c r="BE62" s="616"/>
      <c r="BF62" s="616"/>
      <c r="BG62" s="616"/>
      <c r="BH62" s="616"/>
      <c r="BI62" s="812"/>
      <c r="BJ62" s="581"/>
      <c r="BK62" s="581"/>
      <c r="BL62" s="581"/>
      <c r="BM62" s="581"/>
      <c r="BN62" s="581"/>
      <c r="BO62" s="581"/>
      <c r="BP62" s="581"/>
      <c r="BQ62" s="581"/>
      <c r="BR62" s="609"/>
      <c r="BS62" s="639"/>
      <c r="BT62" s="377"/>
      <c r="BU62" s="522"/>
      <c r="BV62" s="522"/>
      <c r="BW62" s="119"/>
      <c r="BX62" s="120"/>
      <c r="BY62" s="510"/>
      <c r="BZ62" s="510"/>
      <c r="CA62" s="510"/>
      <c r="CB62" s="510"/>
      <c r="CC62" s="510"/>
      <c r="CD62" s="510"/>
      <c r="CE62" s="836"/>
      <c r="CF62" s="836"/>
      <c r="CG62" s="836"/>
      <c r="CH62" s="836"/>
      <c r="CI62" s="836"/>
      <c r="CJ62" s="836"/>
      <c r="CK62" s="77"/>
      <c r="CL62" s="510"/>
      <c r="CM62" s="510"/>
      <c r="CN62" s="510"/>
      <c r="CO62" s="510"/>
      <c r="CP62" s="835"/>
      <c r="CQ62" s="835"/>
      <c r="CR62" s="835"/>
      <c r="CS62" s="835"/>
      <c r="CT62" s="835"/>
      <c r="CU62" s="835"/>
      <c r="CV62" s="835"/>
      <c r="CW62" s="835"/>
      <c r="CX62" s="835"/>
      <c r="CY62" s="119"/>
    </row>
    <row r="63" spans="1:103" ht="7.5" customHeight="1" thickBot="1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0"/>
      <c r="AI63" s="617"/>
      <c r="AJ63" s="618"/>
      <c r="AK63" s="618"/>
      <c r="AL63" s="618"/>
      <c r="AM63" s="618"/>
      <c r="AN63" s="813"/>
      <c r="AO63" s="611"/>
      <c r="AP63" s="611"/>
      <c r="AQ63" s="611"/>
      <c r="AR63" s="611"/>
      <c r="AS63" s="611"/>
      <c r="AT63" s="611"/>
      <c r="AU63" s="611"/>
      <c r="AV63" s="611"/>
      <c r="AW63" s="612"/>
      <c r="AX63" s="639"/>
      <c r="AY63" s="377"/>
      <c r="AZ63" s="522"/>
      <c r="BA63" s="522"/>
      <c r="BB63" s="77"/>
      <c r="BC63" s="77"/>
      <c r="BD63" s="617"/>
      <c r="BE63" s="618"/>
      <c r="BF63" s="618"/>
      <c r="BG63" s="618"/>
      <c r="BH63" s="618"/>
      <c r="BI63" s="813"/>
      <c r="BJ63" s="611"/>
      <c r="BK63" s="611"/>
      <c r="BL63" s="611"/>
      <c r="BM63" s="611"/>
      <c r="BN63" s="611"/>
      <c r="BO63" s="611"/>
      <c r="BP63" s="611"/>
      <c r="BQ63" s="611"/>
      <c r="BR63" s="612"/>
      <c r="BS63" s="639"/>
      <c r="BT63" s="377"/>
      <c r="BU63" s="522"/>
      <c r="BV63" s="522"/>
      <c r="BW63" s="119"/>
      <c r="BX63" s="120"/>
      <c r="BY63" s="838"/>
      <c r="BZ63" s="839"/>
      <c r="CA63" s="839"/>
      <c r="CB63" s="839"/>
      <c r="CC63" s="839"/>
      <c r="CD63" s="840"/>
      <c r="CE63" s="838"/>
      <c r="CF63" s="839"/>
      <c r="CG63" s="839"/>
      <c r="CH63" s="839"/>
      <c r="CI63" s="839"/>
      <c r="CJ63" s="840"/>
      <c r="CK63" s="77"/>
      <c r="CL63" s="835"/>
      <c r="CM63" s="835"/>
      <c r="CN63" s="835"/>
      <c r="CO63" s="835"/>
      <c r="CP63" s="835"/>
      <c r="CQ63" s="835"/>
      <c r="CR63" s="835"/>
      <c r="CS63" s="835"/>
      <c r="CT63" s="835"/>
      <c r="CU63" s="835"/>
      <c r="CV63" s="835"/>
      <c r="CW63" s="835"/>
      <c r="CX63" s="835"/>
      <c r="CY63" s="119"/>
    </row>
    <row r="64" spans="1:103" ht="7.5" customHeight="1">
      <c r="A64" s="150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51"/>
      <c r="AH64" s="120"/>
      <c r="AI64" s="286" t="s">
        <v>278</v>
      </c>
      <c r="AJ64" s="640"/>
      <c r="AK64" s="641"/>
      <c r="AL64" s="642"/>
      <c r="AM64" s="286" t="s">
        <v>279</v>
      </c>
      <c r="AN64" s="286"/>
      <c r="AO64" s="635"/>
      <c r="AP64" s="636"/>
      <c r="AQ64" s="636"/>
      <c r="AR64" s="636"/>
      <c r="AS64" s="636"/>
      <c r="AT64" s="636"/>
      <c r="AU64" s="636"/>
      <c r="AV64" s="286" t="s">
        <v>280</v>
      </c>
      <c r="AW64" s="286"/>
      <c r="AX64" s="586"/>
      <c r="AY64" s="587"/>
      <c r="AZ64" s="587"/>
      <c r="BA64" s="588"/>
      <c r="BB64" s="77"/>
      <c r="BC64" s="77"/>
      <c r="BD64" s="286" t="s">
        <v>278</v>
      </c>
      <c r="BE64" s="640"/>
      <c r="BF64" s="641"/>
      <c r="BG64" s="642"/>
      <c r="BH64" s="286" t="s">
        <v>279</v>
      </c>
      <c r="BI64" s="286"/>
      <c r="BJ64" s="635"/>
      <c r="BK64" s="636"/>
      <c r="BL64" s="636"/>
      <c r="BM64" s="636"/>
      <c r="BN64" s="636"/>
      <c r="BO64" s="636"/>
      <c r="BP64" s="636"/>
      <c r="BQ64" s="376" t="s">
        <v>280</v>
      </c>
      <c r="BR64" s="376"/>
      <c r="BS64" s="586"/>
      <c r="BT64" s="587"/>
      <c r="BU64" s="587"/>
      <c r="BV64" s="588"/>
      <c r="BW64" s="119"/>
      <c r="BX64" s="120"/>
      <c r="BY64" s="841"/>
      <c r="BZ64" s="842"/>
      <c r="CA64" s="842"/>
      <c r="CB64" s="842"/>
      <c r="CC64" s="842"/>
      <c r="CD64" s="843"/>
      <c r="CE64" s="841"/>
      <c r="CF64" s="842"/>
      <c r="CG64" s="842"/>
      <c r="CH64" s="842"/>
      <c r="CI64" s="842"/>
      <c r="CJ64" s="843"/>
      <c r="CK64" s="77"/>
      <c r="CL64" s="835"/>
      <c r="CM64" s="835"/>
      <c r="CN64" s="835"/>
      <c r="CO64" s="835"/>
      <c r="CP64" s="835"/>
      <c r="CQ64" s="835"/>
      <c r="CR64" s="835"/>
      <c r="CS64" s="835"/>
      <c r="CT64" s="835"/>
      <c r="CU64" s="835"/>
      <c r="CV64" s="835"/>
      <c r="CW64" s="835"/>
      <c r="CX64" s="835"/>
      <c r="CY64" s="119"/>
    </row>
    <row r="65" spans="1:103" ht="7.5" customHeight="1" thickBot="1">
      <c r="A65" s="120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119"/>
      <c r="AH65" s="120"/>
      <c r="AI65" s="172"/>
      <c r="AJ65" s="589"/>
      <c r="AK65" s="590"/>
      <c r="AL65" s="591"/>
      <c r="AM65" s="172"/>
      <c r="AN65" s="172"/>
      <c r="AO65" s="637"/>
      <c r="AP65" s="638"/>
      <c r="AQ65" s="638"/>
      <c r="AR65" s="638"/>
      <c r="AS65" s="638"/>
      <c r="AT65" s="638"/>
      <c r="AU65" s="638"/>
      <c r="AV65" s="172"/>
      <c r="AW65" s="172"/>
      <c r="AX65" s="589"/>
      <c r="AY65" s="590"/>
      <c r="AZ65" s="590"/>
      <c r="BA65" s="591"/>
      <c r="BB65" s="77"/>
      <c r="BC65" s="77"/>
      <c r="BD65" s="172"/>
      <c r="BE65" s="589"/>
      <c r="BF65" s="590"/>
      <c r="BG65" s="591"/>
      <c r="BH65" s="172"/>
      <c r="BI65" s="172"/>
      <c r="BJ65" s="637"/>
      <c r="BK65" s="638"/>
      <c r="BL65" s="638"/>
      <c r="BM65" s="638"/>
      <c r="BN65" s="638"/>
      <c r="BO65" s="638"/>
      <c r="BP65" s="638"/>
      <c r="BQ65" s="377"/>
      <c r="BR65" s="377"/>
      <c r="BS65" s="589"/>
      <c r="BT65" s="590"/>
      <c r="BU65" s="590"/>
      <c r="BV65" s="591"/>
      <c r="BW65" s="119"/>
      <c r="BX65" s="120"/>
      <c r="BY65" s="844" t="s">
        <v>101</v>
      </c>
      <c r="BZ65" s="845"/>
      <c r="CA65" s="846"/>
      <c r="CB65" s="850"/>
      <c r="CC65" s="851"/>
      <c r="CD65" s="851"/>
      <c r="CE65" s="851"/>
      <c r="CF65" s="851"/>
      <c r="CG65" s="851"/>
      <c r="CH65" s="851"/>
      <c r="CI65" s="851"/>
      <c r="CJ65" s="852"/>
      <c r="CK65" s="77"/>
      <c r="CL65" s="835"/>
      <c r="CM65" s="835"/>
      <c r="CN65" s="835"/>
      <c r="CO65" s="835"/>
      <c r="CP65" s="835"/>
      <c r="CQ65" s="835"/>
      <c r="CR65" s="835"/>
      <c r="CS65" s="835"/>
      <c r="CT65" s="835"/>
      <c r="CU65" s="835"/>
      <c r="CV65" s="835"/>
      <c r="CW65" s="835"/>
      <c r="CX65" s="835"/>
      <c r="CY65" s="119"/>
    </row>
    <row r="66" spans="1:103" ht="7.5" customHeight="1">
      <c r="A66" s="120"/>
      <c r="B66" s="569" t="s">
        <v>1107</v>
      </c>
      <c r="C66" s="570"/>
      <c r="D66" s="570"/>
      <c r="E66" s="570"/>
      <c r="F66" s="570"/>
      <c r="G66" s="570"/>
      <c r="H66" s="570"/>
      <c r="I66" s="570"/>
      <c r="J66" s="570"/>
      <c r="K66" s="570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2"/>
      <c r="AG66" s="119"/>
      <c r="AH66" s="120"/>
      <c r="AI66" s="377" t="s">
        <v>281</v>
      </c>
      <c r="AJ66" s="377"/>
      <c r="AK66" s="377" t="s">
        <v>282</v>
      </c>
      <c r="AL66" s="558"/>
      <c r="AM66" s="558"/>
      <c r="AN66" s="377" t="s">
        <v>283</v>
      </c>
      <c r="AO66" s="558"/>
      <c r="AP66" s="558"/>
      <c r="AQ66" s="377" t="s">
        <v>284</v>
      </c>
      <c r="AR66" s="558"/>
      <c r="AS66" s="558"/>
      <c r="AT66" s="250" t="s">
        <v>99</v>
      </c>
      <c r="AU66" s="251"/>
      <c r="AV66" s="251"/>
      <c r="AW66" s="251"/>
      <c r="AX66" s="251"/>
      <c r="AY66" s="592"/>
      <c r="AZ66" s="586"/>
      <c r="BA66" s="588"/>
      <c r="BB66" s="77"/>
      <c r="BC66" s="77"/>
      <c r="BD66" s="377" t="s">
        <v>281</v>
      </c>
      <c r="BE66" s="377"/>
      <c r="BF66" s="377" t="s">
        <v>282</v>
      </c>
      <c r="BG66" s="558"/>
      <c r="BH66" s="558"/>
      <c r="BI66" s="377" t="s">
        <v>283</v>
      </c>
      <c r="BJ66" s="558"/>
      <c r="BK66" s="558"/>
      <c r="BL66" s="377" t="s">
        <v>284</v>
      </c>
      <c r="BM66" s="558"/>
      <c r="BN66" s="558"/>
      <c r="BO66" s="250" t="s">
        <v>99</v>
      </c>
      <c r="BP66" s="251"/>
      <c r="BQ66" s="251"/>
      <c r="BR66" s="251"/>
      <c r="BS66" s="251"/>
      <c r="BT66" s="592"/>
      <c r="BU66" s="586"/>
      <c r="BV66" s="588"/>
      <c r="BW66" s="119"/>
      <c r="BX66" s="120"/>
      <c r="BY66" s="847"/>
      <c r="BZ66" s="848"/>
      <c r="CA66" s="849"/>
      <c r="CB66" s="853"/>
      <c r="CC66" s="854"/>
      <c r="CD66" s="854"/>
      <c r="CE66" s="854"/>
      <c r="CF66" s="854"/>
      <c r="CG66" s="854"/>
      <c r="CH66" s="854"/>
      <c r="CI66" s="854"/>
      <c r="CJ66" s="855"/>
      <c r="CK66" s="77"/>
      <c r="CL66" s="835"/>
      <c r="CM66" s="835"/>
      <c r="CN66" s="835"/>
      <c r="CO66" s="835"/>
      <c r="CP66" s="835"/>
      <c r="CQ66" s="835"/>
      <c r="CR66" s="835"/>
      <c r="CS66" s="835"/>
      <c r="CT66" s="835"/>
      <c r="CU66" s="835"/>
      <c r="CV66" s="835"/>
      <c r="CW66" s="835"/>
      <c r="CX66" s="835"/>
      <c r="CY66" s="119"/>
    </row>
    <row r="67" spans="1:103" ht="7.5" customHeight="1" thickBot="1">
      <c r="A67" s="120"/>
      <c r="B67" s="572"/>
      <c r="C67" s="573"/>
      <c r="D67" s="573"/>
      <c r="E67" s="573"/>
      <c r="F67" s="573"/>
      <c r="G67" s="573"/>
      <c r="H67" s="573"/>
      <c r="I67" s="573"/>
      <c r="J67" s="573"/>
      <c r="K67" s="57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4"/>
      <c r="AG67" s="119"/>
      <c r="AH67" s="120"/>
      <c r="AI67" s="619"/>
      <c r="AJ67" s="619"/>
      <c r="AK67" s="619"/>
      <c r="AL67" s="633"/>
      <c r="AM67" s="633"/>
      <c r="AN67" s="619"/>
      <c r="AO67" s="633"/>
      <c r="AP67" s="633"/>
      <c r="AQ67" s="619"/>
      <c r="AR67" s="633"/>
      <c r="AS67" s="633"/>
      <c r="AT67" s="216"/>
      <c r="AU67" s="253"/>
      <c r="AV67" s="253"/>
      <c r="AW67" s="253"/>
      <c r="AX67" s="253"/>
      <c r="AY67" s="217"/>
      <c r="AZ67" s="589"/>
      <c r="BA67" s="591"/>
      <c r="BB67" s="77"/>
      <c r="BC67" s="77"/>
      <c r="BD67" s="619"/>
      <c r="BE67" s="619"/>
      <c r="BF67" s="619"/>
      <c r="BG67" s="633"/>
      <c r="BH67" s="633"/>
      <c r="BI67" s="619"/>
      <c r="BJ67" s="633"/>
      <c r="BK67" s="633"/>
      <c r="BL67" s="619"/>
      <c r="BM67" s="633"/>
      <c r="BN67" s="633"/>
      <c r="BO67" s="216"/>
      <c r="BP67" s="253"/>
      <c r="BQ67" s="253"/>
      <c r="BR67" s="253"/>
      <c r="BS67" s="253"/>
      <c r="BT67" s="217"/>
      <c r="BU67" s="589"/>
      <c r="BV67" s="591"/>
      <c r="BW67" s="119"/>
      <c r="BX67" s="120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119"/>
    </row>
    <row r="68" spans="1:103" ht="7.5" customHeight="1" thickBot="1">
      <c r="A68" s="120"/>
      <c r="B68" s="286" t="s">
        <v>1201</v>
      </c>
      <c r="C68" s="286"/>
      <c r="D68" s="286"/>
      <c r="E68" s="286"/>
      <c r="F68" s="286"/>
      <c r="G68" s="286"/>
      <c r="H68" s="286"/>
      <c r="I68" s="286" t="s">
        <v>1202</v>
      </c>
      <c r="J68" s="286"/>
      <c r="K68" s="286"/>
      <c r="L68" s="286"/>
      <c r="M68" s="286"/>
      <c r="N68" s="286"/>
      <c r="O68" s="286" t="s">
        <v>968</v>
      </c>
      <c r="P68" s="286"/>
      <c r="Q68" s="77"/>
      <c r="R68" s="286" t="s">
        <v>1201</v>
      </c>
      <c r="S68" s="286"/>
      <c r="T68" s="286"/>
      <c r="U68" s="286"/>
      <c r="V68" s="286"/>
      <c r="W68" s="286"/>
      <c r="X68" s="286"/>
      <c r="Y68" s="286" t="s">
        <v>1202</v>
      </c>
      <c r="Z68" s="286"/>
      <c r="AA68" s="286"/>
      <c r="AB68" s="286"/>
      <c r="AC68" s="286"/>
      <c r="AD68" s="286"/>
      <c r="AE68" s="286" t="s">
        <v>968</v>
      </c>
      <c r="AF68" s="286"/>
      <c r="AG68" s="119"/>
      <c r="AH68" s="120"/>
      <c r="AI68" s="803"/>
      <c r="AJ68" s="796"/>
      <c r="AK68" s="796"/>
      <c r="AL68" s="796"/>
      <c r="AM68" s="796"/>
      <c r="AN68" s="796"/>
      <c r="AO68" s="796"/>
      <c r="AP68" s="377" t="s">
        <v>1137</v>
      </c>
      <c r="AQ68" s="377"/>
      <c r="AR68" s="377"/>
      <c r="AS68" s="377"/>
      <c r="AT68" s="558"/>
      <c r="AU68" s="558"/>
      <c r="AV68" s="377" t="s">
        <v>1134</v>
      </c>
      <c r="AW68" s="377"/>
      <c r="AX68" s="377"/>
      <c r="AY68" s="377"/>
      <c r="AZ68" s="586"/>
      <c r="BA68" s="588"/>
      <c r="BB68" s="77"/>
      <c r="BC68" s="77"/>
      <c r="BD68" s="803"/>
      <c r="BE68" s="796"/>
      <c r="BF68" s="796"/>
      <c r="BG68" s="796"/>
      <c r="BH68" s="796"/>
      <c r="BI68" s="796"/>
      <c r="BJ68" s="796"/>
      <c r="BK68" s="377" t="s">
        <v>1137</v>
      </c>
      <c r="BL68" s="377"/>
      <c r="BM68" s="377"/>
      <c r="BN68" s="377"/>
      <c r="BO68" s="558"/>
      <c r="BP68" s="558"/>
      <c r="BQ68" s="377" t="s">
        <v>1134</v>
      </c>
      <c r="BR68" s="377"/>
      <c r="BS68" s="377"/>
      <c r="BT68" s="377"/>
      <c r="BU68" s="586"/>
      <c r="BV68" s="588"/>
      <c r="BW68" s="119"/>
      <c r="BX68" s="120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119"/>
    </row>
    <row r="69" spans="1:103" ht="7.5" customHeight="1" thickBot="1">
      <c r="A69" s="120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77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19"/>
      <c r="AH69" s="120"/>
      <c r="AI69" s="804"/>
      <c r="AJ69" s="805"/>
      <c r="AK69" s="805"/>
      <c r="AL69" s="806"/>
      <c r="AM69" s="806"/>
      <c r="AN69" s="806"/>
      <c r="AO69" s="806"/>
      <c r="AP69" s="619"/>
      <c r="AQ69" s="619"/>
      <c r="AR69" s="619"/>
      <c r="AS69" s="619"/>
      <c r="AT69" s="558"/>
      <c r="AU69" s="558"/>
      <c r="AV69" s="377"/>
      <c r="AW69" s="377"/>
      <c r="AX69" s="377"/>
      <c r="AY69" s="377"/>
      <c r="AZ69" s="589"/>
      <c r="BA69" s="591"/>
      <c r="BB69" s="77"/>
      <c r="BC69" s="77"/>
      <c r="BD69" s="804"/>
      <c r="BE69" s="805"/>
      <c r="BF69" s="805"/>
      <c r="BG69" s="806"/>
      <c r="BH69" s="806"/>
      <c r="BI69" s="806"/>
      <c r="BJ69" s="806"/>
      <c r="BK69" s="619"/>
      <c r="BL69" s="619"/>
      <c r="BM69" s="619"/>
      <c r="BN69" s="619"/>
      <c r="BO69" s="558"/>
      <c r="BP69" s="558"/>
      <c r="BQ69" s="377"/>
      <c r="BR69" s="377"/>
      <c r="BS69" s="377"/>
      <c r="BT69" s="377"/>
      <c r="BU69" s="589"/>
      <c r="BV69" s="591"/>
      <c r="BW69" s="119"/>
      <c r="BX69" s="120"/>
      <c r="BY69" s="569" t="s">
        <v>1163</v>
      </c>
      <c r="BZ69" s="570"/>
      <c r="CA69" s="570"/>
      <c r="CB69" s="570"/>
      <c r="CC69" s="570"/>
      <c r="CD69" s="570"/>
      <c r="CE69" s="570"/>
      <c r="CF69" s="570"/>
      <c r="CG69" s="570"/>
      <c r="CH69" s="570"/>
      <c r="CI69" s="570"/>
      <c r="CJ69" s="571"/>
      <c r="CK69" s="77"/>
      <c r="CL69" s="510" t="s">
        <v>73</v>
      </c>
      <c r="CM69" s="510"/>
      <c r="CN69" s="510"/>
      <c r="CO69" s="510"/>
      <c r="CP69" s="510"/>
      <c r="CQ69" s="510"/>
      <c r="CR69" s="510"/>
      <c r="CS69" s="510"/>
      <c r="CT69" s="510"/>
      <c r="CU69" s="510"/>
      <c r="CV69" s="510"/>
      <c r="CW69" s="510"/>
      <c r="CX69" s="510"/>
      <c r="CY69" s="119"/>
    </row>
    <row r="70" spans="1:103" ht="7.5" customHeight="1" thickBot="1">
      <c r="A70" s="120"/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27"/>
      <c r="P70" s="227"/>
      <c r="Q70" s="77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27"/>
      <c r="AF70" s="227"/>
      <c r="AG70" s="119"/>
      <c r="AH70" s="120"/>
      <c r="AI70" s="613" t="s">
        <v>930</v>
      </c>
      <c r="AJ70" s="614"/>
      <c r="AK70" s="614"/>
      <c r="AL70" s="605"/>
      <c r="AM70" s="606"/>
      <c r="AN70" s="606"/>
      <c r="AO70" s="606"/>
      <c r="AP70" s="606"/>
      <c r="AQ70" s="606"/>
      <c r="AR70" s="606"/>
      <c r="AS70" s="607"/>
      <c r="AT70" s="251" t="s">
        <v>298</v>
      </c>
      <c r="AU70" s="251"/>
      <c r="AV70" s="626"/>
      <c r="AW70" s="626"/>
      <c r="AX70" s="214" t="s">
        <v>831</v>
      </c>
      <c r="AY70" s="252"/>
      <c r="AZ70" s="627"/>
      <c r="BA70" s="628"/>
      <c r="BB70" s="77"/>
      <c r="BC70" s="77"/>
      <c r="BD70" s="613" t="s">
        <v>930</v>
      </c>
      <c r="BE70" s="614"/>
      <c r="BF70" s="614"/>
      <c r="BG70" s="605"/>
      <c r="BH70" s="606"/>
      <c r="BI70" s="606"/>
      <c r="BJ70" s="606"/>
      <c r="BK70" s="606"/>
      <c r="BL70" s="606"/>
      <c r="BM70" s="606"/>
      <c r="BN70" s="607"/>
      <c r="BO70" s="251" t="s">
        <v>298</v>
      </c>
      <c r="BP70" s="251"/>
      <c r="BQ70" s="626"/>
      <c r="BR70" s="626"/>
      <c r="BS70" s="214" t="s">
        <v>831</v>
      </c>
      <c r="BT70" s="252"/>
      <c r="BU70" s="627"/>
      <c r="BV70" s="628"/>
      <c r="BW70" s="119"/>
      <c r="BX70" s="120"/>
      <c r="BY70" s="572"/>
      <c r="BZ70" s="573"/>
      <c r="CA70" s="573"/>
      <c r="CB70" s="573"/>
      <c r="CC70" s="573"/>
      <c r="CD70" s="573"/>
      <c r="CE70" s="573"/>
      <c r="CF70" s="573"/>
      <c r="CG70" s="573"/>
      <c r="CH70" s="573"/>
      <c r="CI70" s="573"/>
      <c r="CJ70" s="574"/>
      <c r="CK70" s="77"/>
      <c r="CL70" s="510"/>
      <c r="CM70" s="510"/>
      <c r="CN70" s="510"/>
      <c r="CO70" s="510"/>
      <c r="CP70" s="510"/>
      <c r="CQ70" s="510"/>
      <c r="CR70" s="510"/>
      <c r="CS70" s="510"/>
      <c r="CT70" s="510"/>
      <c r="CU70" s="510"/>
      <c r="CV70" s="510"/>
      <c r="CW70" s="510"/>
      <c r="CX70" s="510"/>
      <c r="CY70" s="119"/>
    </row>
    <row r="71" spans="1:103" ht="7.5" customHeight="1">
      <c r="A71" s="120"/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27"/>
      <c r="P71" s="227"/>
      <c r="Q71" s="77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27"/>
      <c r="AF71" s="227"/>
      <c r="AG71" s="119"/>
      <c r="AH71" s="120"/>
      <c r="AI71" s="615"/>
      <c r="AJ71" s="616"/>
      <c r="AK71" s="616"/>
      <c r="AL71" s="608"/>
      <c r="AM71" s="581"/>
      <c r="AN71" s="581"/>
      <c r="AO71" s="581"/>
      <c r="AP71" s="581"/>
      <c r="AQ71" s="581"/>
      <c r="AR71" s="581"/>
      <c r="AS71" s="609"/>
      <c r="AT71" s="252"/>
      <c r="AU71" s="252"/>
      <c r="AV71" s="522"/>
      <c r="AW71" s="522"/>
      <c r="AX71" s="214"/>
      <c r="AY71" s="252"/>
      <c r="AZ71" s="629"/>
      <c r="BA71" s="630"/>
      <c r="BB71" s="77"/>
      <c r="BC71" s="77"/>
      <c r="BD71" s="615"/>
      <c r="BE71" s="616"/>
      <c r="BF71" s="616"/>
      <c r="BG71" s="608"/>
      <c r="BH71" s="581"/>
      <c r="BI71" s="581"/>
      <c r="BJ71" s="581"/>
      <c r="BK71" s="581"/>
      <c r="BL71" s="581"/>
      <c r="BM71" s="581"/>
      <c r="BN71" s="609"/>
      <c r="BO71" s="252"/>
      <c r="BP71" s="252"/>
      <c r="BQ71" s="522"/>
      <c r="BR71" s="522"/>
      <c r="BS71" s="214"/>
      <c r="BT71" s="252"/>
      <c r="BU71" s="629"/>
      <c r="BV71" s="630"/>
      <c r="BW71" s="119"/>
      <c r="BX71" s="120"/>
      <c r="BY71" s="827"/>
      <c r="BZ71" s="827"/>
      <c r="CA71" s="827"/>
      <c r="CB71" s="827"/>
      <c r="CC71" s="827"/>
      <c r="CD71" s="827"/>
      <c r="CE71" s="827"/>
      <c r="CF71" s="827"/>
      <c r="CG71" s="827"/>
      <c r="CH71" s="827"/>
      <c r="CI71" s="827"/>
      <c r="CJ71" s="827"/>
      <c r="CK71" s="77"/>
      <c r="CL71" s="856" t="s">
        <v>1170</v>
      </c>
      <c r="CM71" s="856"/>
      <c r="CN71" s="856"/>
      <c r="CO71" s="856"/>
      <c r="CP71" s="858"/>
      <c r="CQ71" s="859"/>
      <c r="CR71" s="77"/>
      <c r="CS71" s="856" t="s">
        <v>83</v>
      </c>
      <c r="CT71" s="856"/>
      <c r="CU71" s="856"/>
      <c r="CV71" s="856"/>
      <c r="CW71" s="858"/>
      <c r="CX71" s="859"/>
      <c r="CY71" s="119"/>
    </row>
    <row r="72" spans="1:103" ht="7.5" customHeight="1" thickBot="1">
      <c r="A72" s="120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27"/>
      <c r="P72" s="227"/>
      <c r="Q72" s="77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27"/>
      <c r="AF72" s="227"/>
      <c r="AG72" s="119"/>
      <c r="AH72" s="120"/>
      <c r="AI72" s="617"/>
      <c r="AJ72" s="618"/>
      <c r="AK72" s="618"/>
      <c r="AL72" s="610"/>
      <c r="AM72" s="611"/>
      <c r="AN72" s="611"/>
      <c r="AO72" s="611"/>
      <c r="AP72" s="611"/>
      <c r="AQ72" s="611"/>
      <c r="AR72" s="611"/>
      <c r="AS72" s="612"/>
      <c r="AT72" s="253"/>
      <c r="AU72" s="253"/>
      <c r="AV72" s="522"/>
      <c r="AW72" s="522"/>
      <c r="AX72" s="216"/>
      <c r="AY72" s="253"/>
      <c r="AZ72" s="631"/>
      <c r="BA72" s="632"/>
      <c r="BB72" s="77"/>
      <c r="BC72" s="77"/>
      <c r="BD72" s="617"/>
      <c r="BE72" s="618"/>
      <c r="BF72" s="618"/>
      <c r="BG72" s="610"/>
      <c r="BH72" s="611"/>
      <c r="BI72" s="611"/>
      <c r="BJ72" s="611"/>
      <c r="BK72" s="611"/>
      <c r="BL72" s="611"/>
      <c r="BM72" s="611"/>
      <c r="BN72" s="612"/>
      <c r="BO72" s="253"/>
      <c r="BP72" s="253"/>
      <c r="BQ72" s="522"/>
      <c r="BR72" s="522"/>
      <c r="BS72" s="216"/>
      <c r="BT72" s="253"/>
      <c r="BU72" s="631"/>
      <c r="BV72" s="632"/>
      <c r="BW72" s="119"/>
      <c r="BX72" s="120"/>
      <c r="BY72" s="828"/>
      <c r="BZ72" s="828"/>
      <c r="CA72" s="828"/>
      <c r="CB72" s="828"/>
      <c r="CC72" s="828"/>
      <c r="CD72" s="828"/>
      <c r="CE72" s="828"/>
      <c r="CF72" s="828"/>
      <c r="CG72" s="828"/>
      <c r="CH72" s="828"/>
      <c r="CI72" s="828"/>
      <c r="CJ72" s="828"/>
      <c r="CK72" s="77"/>
      <c r="CL72" s="857"/>
      <c r="CM72" s="857"/>
      <c r="CN72" s="857"/>
      <c r="CO72" s="857"/>
      <c r="CP72" s="860"/>
      <c r="CQ72" s="860"/>
      <c r="CR72" s="77"/>
      <c r="CS72" s="857"/>
      <c r="CT72" s="857"/>
      <c r="CU72" s="857"/>
      <c r="CV72" s="857"/>
      <c r="CW72" s="860"/>
      <c r="CX72" s="860"/>
      <c r="CY72" s="119"/>
    </row>
    <row r="73" spans="1:103" ht="7.5" customHeight="1">
      <c r="A73" s="120"/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27"/>
      <c r="P73" s="227"/>
      <c r="Q73" s="77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27"/>
      <c r="AF73" s="227"/>
      <c r="AG73" s="119"/>
      <c r="AH73" s="120"/>
      <c r="AI73" s="376" t="s">
        <v>279</v>
      </c>
      <c r="AJ73" s="376"/>
      <c r="AK73" s="593"/>
      <c r="AL73" s="594"/>
      <c r="AM73" s="594"/>
      <c r="AN73" s="594"/>
      <c r="AO73" s="595"/>
      <c r="AP73" s="599" t="s">
        <v>832</v>
      </c>
      <c r="AQ73" s="600"/>
      <c r="AR73" s="601"/>
      <c r="AS73" s="624"/>
      <c r="AT73" s="625"/>
      <c r="AU73" s="625"/>
      <c r="AV73" s="625"/>
      <c r="AW73" s="625"/>
      <c r="AX73" s="625"/>
      <c r="AY73" s="625"/>
      <c r="AZ73" s="625"/>
      <c r="BA73" s="625"/>
      <c r="BB73" s="77"/>
      <c r="BC73" s="77"/>
      <c r="BD73" s="376" t="s">
        <v>279</v>
      </c>
      <c r="BE73" s="376"/>
      <c r="BF73" s="593"/>
      <c r="BG73" s="594"/>
      <c r="BH73" s="594"/>
      <c r="BI73" s="594"/>
      <c r="BJ73" s="595"/>
      <c r="BK73" s="599" t="s">
        <v>832</v>
      </c>
      <c r="BL73" s="600"/>
      <c r="BM73" s="601"/>
      <c r="BN73" s="624"/>
      <c r="BO73" s="625"/>
      <c r="BP73" s="625"/>
      <c r="BQ73" s="625"/>
      <c r="BR73" s="625"/>
      <c r="BS73" s="625"/>
      <c r="BT73" s="625"/>
      <c r="BU73" s="625"/>
      <c r="BV73" s="625"/>
      <c r="BW73" s="119"/>
      <c r="BX73" s="120"/>
      <c r="BY73" s="172" t="s">
        <v>958</v>
      </c>
      <c r="BZ73" s="172"/>
      <c r="CA73" s="558"/>
      <c r="CB73" s="558"/>
      <c r="CC73" s="286" t="s">
        <v>960</v>
      </c>
      <c r="CD73" s="286"/>
      <c r="CE73" s="558"/>
      <c r="CF73" s="558"/>
      <c r="CG73" s="172" t="s">
        <v>281</v>
      </c>
      <c r="CH73" s="172"/>
      <c r="CI73" s="558"/>
      <c r="CJ73" s="558"/>
      <c r="CK73" s="77"/>
      <c r="CL73" s="857" t="s">
        <v>1171</v>
      </c>
      <c r="CM73" s="857"/>
      <c r="CN73" s="857"/>
      <c r="CO73" s="857"/>
      <c r="CP73" s="861"/>
      <c r="CQ73" s="860"/>
      <c r="CR73" s="77"/>
      <c r="CS73" s="857" t="s">
        <v>84</v>
      </c>
      <c r="CT73" s="857"/>
      <c r="CU73" s="857"/>
      <c r="CV73" s="857"/>
      <c r="CW73" s="861"/>
      <c r="CX73" s="860"/>
      <c r="CY73" s="119"/>
    </row>
    <row r="74" spans="1:103" ht="7.5" customHeight="1">
      <c r="A74" s="120"/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27"/>
      <c r="P74" s="227"/>
      <c r="Q74" s="77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27"/>
      <c r="AF74" s="227"/>
      <c r="AG74" s="119"/>
      <c r="AH74" s="120"/>
      <c r="AI74" s="377"/>
      <c r="AJ74" s="377"/>
      <c r="AK74" s="596"/>
      <c r="AL74" s="597"/>
      <c r="AM74" s="597"/>
      <c r="AN74" s="597"/>
      <c r="AO74" s="598"/>
      <c r="AP74" s="602"/>
      <c r="AQ74" s="603"/>
      <c r="AR74" s="604"/>
      <c r="AS74" s="625"/>
      <c r="AT74" s="625"/>
      <c r="AU74" s="625"/>
      <c r="AV74" s="625"/>
      <c r="AW74" s="625"/>
      <c r="AX74" s="625"/>
      <c r="AY74" s="625"/>
      <c r="AZ74" s="625"/>
      <c r="BA74" s="625"/>
      <c r="BB74" s="77"/>
      <c r="BC74" s="77"/>
      <c r="BD74" s="377"/>
      <c r="BE74" s="377"/>
      <c r="BF74" s="596"/>
      <c r="BG74" s="597"/>
      <c r="BH74" s="597"/>
      <c r="BI74" s="597"/>
      <c r="BJ74" s="598"/>
      <c r="BK74" s="602"/>
      <c r="BL74" s="603"/>
      <c r="BM74" s="604"/>
      <c r="BN74" s="625"/>
      <c r="BO74" s="625"/>
      <c r="BP74" s="625"/>
      <c r="BQ74" s="625"/>
      <c r="BR74" s="625"/>
      <c r="BS74" s="625"/>
      <c r="BT74" s="625"/>
      <c r="BU74" s="625"/>
      <c r="BV74" s="625"/>
      <c r="BW74" s="119"/>
      <c r="BX74" s="120"/>
      <c r="BY74" s="172"/>
      <c r="BZ74" s="172"/>
      <c r="CA74" s="558"/>
      <c r="CB74" s="558"/>
      <c r="CC74" s="172"/>
      <c r="CD74" s="172"/>
      <c r="CE74" s="558"/>
      <c r="CF74" s="558"/>
      <c r="CG74" s="172"/>
      <c r="CH74" s="172"/>
      <c r="CI74" s="558"/>
      <c r="CJ74" s="558"/>
      <c r="CK74" s="77"/>
      <c r="CL74" s="857"/>
      <c r="CM74" s="857"/>
      <c r="CN74" s="857"/>
      <c r="CO74" s="857"/>
      <c r="CP74" s="860"/>
      <c r="CQ74" s="860"/>
      <c r="CR74" s="77"/>
      <c r="CS74" s="857"/>
      <c r="CT74" s="857"/>
      <c r="CU74" s="857"/>
      <c r="CV74" s="857"/>
      <c r="CW74" s="860"/>
      <c r="CX74" s="860"/>
      <c r="CY74" s="119"/>
    </row>
    <row r="75" spans="1:103" ht="7.5" customHeight="1">
      <c r="A75" s="120"/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27"/>
      <c r="P75" s="227"/>
      <c r="Q75" s="77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27"/>
      <c r="AF75" s="227"/>
      <c r="AG75" s="119"/>
      <c r="AH75" s="120"/>
      <c r="AI75" s="250" t="s">
        <v>288</v>
      </c>
      <c r="AJ75" s="251"/>
      <c r="AK75" s="251"/>
      <c r="AL75" s="251"/>
      <c r="AM75" s="251"/>
      <c r="AN75" s="251"/>
      <c r="AO75" s="251"/>
      <c r="AP75" s="251"/>
      <c r="AQ75" s="592"/>
      <c r="AR75" s="227"/>
      <c r="AS75" s="227"/>
      <c r="AT75" s="250" t="s">
        <v>1136</v>
      </c>
      <c r="AU75" s="251"/>
      <c r="AV75" s="251"/>
      <c r="AW75" s="251"/>
      <c r="AX75" s="251"/>
      <c r="AY75" s="592"/>
      <c r="AZ75" s="342"/>
      <c r="BA75" s="343"/>
      <c r="BB75" s="77"/>
      <c r="BC75" s="77"/>
      <c r="BD75" s="250" t="s">
        <v>288</v>
      </c>
      <c r="BE75" s="251"/>
      <c r="BF75" s="251"/>
      <c r="BG75" s="251"/>
      <c r="BH75" s="251"/>
      <c r="BI75" s="251"/>
      <c r="BJ75" s="251"/>
      <c r="BK75" s="251"/>
      <c r="BL75" s="592"/>
      <c r="BM75" s="227"/>
      <c r="BN75" s="227"/>
      <c r="BO75" s="250" t="s">
        <v>1136</v>
      </c>
      <c r="BP75" s="251"/>
      <c r="BQ75" s="251"/>
      <c r="BR75" s="251"/>
      <c r="BS75" s="251"/>
      <c r="BT75" s="592"/>
      <c r="BU75" s="342"/>
      <c r="BV75" s="343"/>
      <c r="BW75" s="119"/>
      <c r="BX75" s="120"/>
      <c r="BY75" s="172" t="s">
        <v>959</v>
      </c>
      <c r="BZ75" s="172"/>
      <c r="CA75" s="172"/>
      <c r="CB75" s="558"/>
      <c r="CC75" s="558"/>
      <c r="CD75" s="558"/>
      <c r="CE75" s="327" t="s">
        <v>963</v>
      </c>
      <c r="CF75" s="346"/>
      <c r="CG75" s="829"/>
      <c r="CH75" s="830"/>
      <c r="CI75" s="830"/>
      <c r="CJ75" s="831"/>
      <c r="CK75" s="77"/>
      <c r="CL75" s="857" t="s">
        <v>1165</v>
      </c>
      <c r="CM75" s="857"/>
      <c r="CN75" s="857"/>
      <c r="CO75" s="857"/>
      <c r="CP75" s="861"/>
      <c r="CQ75" s="860"/>
      <c r="CR75" s="77"/>
      <c r="CS75" s="857" t="s">
        <v>85</v>
      </c>
      <c r="CT75" s="857"/>
      <c r="CU75" s="857"/>
      <c r="CV75" s="857"/>
      <c r="CW75" s="861"/>
      <c r="CX75" s="860"/>
      <c r="CY75" s="119"/>
    </row>
    <row r="76" spans="1:103" ht="7.5" customHeight="1" thickBot="1">
      <c r="A76" s="120"/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27"/>
      <c r="P76" s="227"/>
      <c r="Q76" s="77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27"/>
      <c r="AF76" s="227"/>
      <c r="AG76" s="119"/>
      <c r="AH76" s="120"/>
      <c r="AI76" s="801"/>
      <c r="AJ76" s="790"/>
      <c r="AK76" s="790"/>
      <c r="AL76" s="790"/>
      <c r="AM76" s="790"/>
      <c r="AN76" s="790"/>
      <c r="AO76" s="790"/>
      <c r="AP76" s="790"/>
      <c r="AQ76" s="802"/>
      <c r="AR76" s="227"/>
      <c r="AS76" s="227"/>
      <c r="AT76" s="214"/>
      <c r="AU76" s="252"/>
      <c r="AV76" s="252"/>
      <c r="AW76" s="252"/>
      <c r="AX76" s="252"/>
      <c r="AY76" s="215"/>
      <c r="AZ76" s="344"/>
      <c r="BA76" s="345"/>
      <c r="BB76" s="77"/>
      <c r="BC76" s="77"/>
      <c r="BD76" s="801"/>
      <c r="BE76" s="790"/>
      <c r="BF76" s="790"/>
      <c r="BG76" s="790"/>
      <c r="BH76" s="790"/>
      <c r="BI76" s="790"/>
      <c r="BJ76" s="790"/>
      <c r="BK76" s="790"/>
      <c r="BL76" s="802"/>
      <c r="BM76" s="227"/>
      <c r="BN76" s="227"/>
      <c r="BO76" s="214"/>
      <c r="BP76" s="252"/>
      <c r="BQ76" s="252"/>
      <c r="BR76" s="252"/>
      <c r="BS76" s="252"/>
      <c r="BT76" s="215"/>
      <c r="BU76" s="344"/>
      <c r="BV76" s="345"/>
      <c r="BW76" s="119"/>
      <c r="BX76" s="120"/>
      <c r="BY76" s="172"/>
      <c r="BZ76" s="172"/>
      <c r="CA76" s="172"/>
      <c r="CB76" s="558"/>
      <c r="CC76" s="558"/>
      <c r="CD76" s="558"/>
      <c r="CE76" s="329"/>
      <c r="CF76" s="347"/>
      <c r="CG76" s="832"/>
      <c r="CH76" s="833"/>
      <c r="CI76" s="833"/>
      <c r="CJ76" s="834"/>
      <c r="CK76" s="77"/>
      <c r="CL76" s="857"/>
      <c r="CM76" s="857"/>
      <c r="CN76" s="857"/>
      <c r="CO76" s="857"/>
      <c r="CP76" s="860"/>
      <c r="CQ76" s="860"/>
      <c r="CR76" s="77"/>
      <c r="CS76" s="857"/>
      <c r="CT76" s="857"/>
      <c r="CU76" s="857"/>
      <c r="CV76" s="857"/>
      <c r="CW76" s="860"/>
      <c r="CX76" s="860"/>
      <c r="CY76" s="119"/>
    </row>
    <row r="77" spans="1:103" ht="7.5" customHeight="1">
      <c r="A77" s="120"/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27"/>
      <c r="P77" s="227"/>
      <c r="Q77" s="77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27"/>
      <c r="AF77" s="227"/>
      <c r="AG77" s="119"/>
      <c r="AH77" s="120"/>
      <c r="AI77" s="613" t="s">
        <v>930</v>
      </c>
      <c r="AJ77" s="614"/>
      <c r="AK77" s="791"/>
      <c r="AL77" s="606"/>
      <c r="AM77" s="606"/>
      <c r="AN77" s="606"/>
      <c r="AO77" s="606"/>
      <c r="AP77" s="606"/>
      <c r="AQ77" s="606"/>
      <c r="AR77" s="606"/>
      <c r="AS77" s="607"/>
      <c r="AT77" s="251" t="s">
        <v>298</v>
      </c>
      <c r="AU77" s="251"/>
      <c r="AV77" s="626"/>
      <c r="AW77" s="626"/>
      <c r="AX77" s="250" t="s">
        <v>831</v>
      </c>
      <c r="AY77" s="251"/>
      <c r="AZ77" s="627"/>
      <c r="BA77" s="628"/>
      <c r="BB77" s="77"/>
      <c r="BC77" s="77"/>
      <c r="BD77" s="613" t="s">
        <v>930</v>
      </c>
      <c r="BE77" s="614"/>
      <c r="BF77" s="808"/>
      <c r="BG77" s="811"/>
      <c r="BH77" s="606"/>
      <c r="BI77" s="606"/>
      <c r="BJ77" s="606"/>
      <c r="BK77" s="606"/>
      <c r="BL77" s="606"/>
      <c r="BM77" s="606"/>
      <c r="BN77" s="607"/>
      <c r="BO77" s="251" t="s">
        <v>298</v>
      </c>
      <c r="BP77" s="251"/>
      <c r="BQ77" s="626"/>
      <c r="BR77" s="626"/>
      <c r="BS77" s="250" t="s">
        <v>831</v>
      </c>
      <c r="BT77" s="251"/>
      <c r="BU77" s="522"/>
      <c r="BV77" s="522"/>
      <c r="BW77" s="119"/>
      <c r="BX77" s="120"/>
      <c r="BY77" s="327" t="s">
        <v>961</v>
      </c>
      <c r="BZ77" s="328"/>
      <c r="CA77" s="328"/>
      <c r="CB77" s="558"/>
      <c r="CC77" s="558"/>
      <c r="CD77" s="558"/>
      <c r="CE77" s="327" t="s">
        <v>964</v>
      </c>
      <c r="CF77" s="346"/>
      <c r="CG77" s="829"/>
      <c r="CH77" s="830"/>
      <c r="CI77" s="830"/>
      <c r="CJ77" s="831"/>
      <c r="CK77" s="77"/>
      <c r="CL77" s="857" t="s">
        <v>1166</v>
      </c>
      <c r="CM77" s="857"/>
      <c r="CN77" s="857"/>
      <c r="CO77" s="857"/>
      <c r="CP77" s="861"/>
      <c r="CQ77" s="860"/>
      <c r="CR77" s="77"/>
      <c r="CS77" s="857" t="s">
        <v>86</v>
      </c>
      <c r="CT77" s="857"/>
      <c r="CU77" s="857"/>
      <c r="CV77" s="857"/>
      <c r="CW77" s="861"/>
      <c r="CX77" s="860"/>
      <c r="CY77" s="119"/>
    </row>
    <row r="78" spans="1:103" ht="7.5" customHeight="1">
      <c r="A78" s="120"/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27"/>
      <c r="P78" s="227"/>
      <c r="Q78" s="77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27"/>
      <c r="AF78" s="227"/>
      <c r="AG78" s="119"/>
      <c r="AH78" s="120"/>
      <c r="AI78" s="615"/>
      <c r="AJ78" s="616"/>
      <c r="AK78" s="792"/>
      <c r="AL78" s="581"/>
      <c r="AM78" s="581"/>
      <c r="AN78" s="581"/>
      <c r="AO78" s="581"/>
      <c r="AP78" s="581"/>
      <c r="AQ78" s="581"/>
      <c r="AR78" s="581"/>
      <c r="AS78" s="609"/>
      <c r="AT78" s="252"/>
      <c r="AU78" s="252"/>
      <c r="AV78" s="522"/>
      <c r="AW78" s="522"/>
      <c r="AX78" s="214"/>
      <c r="AY78" s="252"/>
      <c r="AZ78" s="629"/>
      <c r="BA78" s="630"/>
      <c r="BB78" s="77"/>
      <c r="BC78" s="77"/>
      <c r="BD78" s="615"/>
      <c r="BE78" s="616"/>
      <c r="BF78" s="809"/>
      <c r="BG78" s="812"/>
      <c r="BH78" s="581"/>
      <c r="BI78" s="581"/>
      <c r="BJ78" s="581"/>
      <c r="BK78" s="581"/>
      <c r="BL78" s="581"/>
      <c r="BM78" s="581"/>
      <c r="BN78" s="609"/>
      <c r="BO78" s="252"/>
      <c r="BP78" s="252"/>
      <c r="BQ78" s="522"/>
      <c r="BR78" s="522"/>
      <c r="BS78" s="214"/>
      <c r="BT78" s="252"/>
      <c r="BU78" s="522"/>
      <c r="BV78" s="522"/>
      <c r="BW78" s="119"/>
      <c r="BX78" s="120"/>
      <c r="BY78" s="383"/>
      <c r="BZ78" s="384"/>
      <c r="CA78" s="384"/>
      <c r="CB78" s="558"/>
      <c r="CC78" s="558"/>
      <c r="CD78" s="558"/>
      <c r="CE78" s="329"/>
      <c r="CF78" s="347"/>
      <c r="CG78" s="832"/>
      <c r="CH78" s="833"/>
      <c r="CI78" s="833"/>
      <c r="CJ78" s="834"/>
      <c r="CK78" s="77"/>
      <c r="CL78" s="857"/>
      <c r="CM78" s="857"/>
      <c r="CN78" s="857"/>
      <c r="CO78" s="857"/>
      <c r="CP78" s="860"/>
      <c r="CQ78" s="860"/>
      <c r="CR78" s="77"/>
      <c r="CS78" s="857"/>
      <c r="CT78" s="857"/>
      <c r="CU78" s="857"/>
      <c r="CV78" s="857"/>
      <c r="CW78" s="860"/>
      <c r="CX78" s="860"/>
      <c r="CY78" s="119"/>
    </row>
    <row r="79" spans="1:103" ht="7.5" customHeight="1" thickBot="1">
      <c r="A79" s="120"/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27"/>
      <c r="P79" s="227"/>
      <c r="Q79" s="77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27"/>
      <c r="AF79" s="227"/>
      <c r="AG79" s="119"/>
      <c r="AH79" s="120"/>
      <c r="AI79" s="617"/>
      <c r="AJ79" s="618"/>
      <c r="AK79" s="793"/>
      <c r="AL79" s="611"/>
      <c r="AM79" s="611"/>
      <c r="AN79" s="611"/>
      <c r="AO79" s="611"/>
      <c r="AP79" s="611"/>
      <c r="AQ79" s="611"/>
      <c r="AR79" s="611"/>
      <c r="AS79" s="612"/>
      <c r="AT79" s="253"/>
      <c r="AU79" s="253"/>
      <c r="AV79" s="522"/>
      <c r="AW79" s="522"/>
      <c r="AX79" s="216"/>
      <c r="AY79" s="253"/>
      <c r="AZ79" s="631"/>
      <c r="BA79" s="632"/>
      <c r="BB79" s="77"/>
      <c r="BC79" s="77"/>
      <c r="BD79" s="617"/>
      <c r="BE79" s="618"/>
      <c r="BF79" s="810"/>
      <c r="BG79" s="813"/>
      <c r="BH79" s="611"/>
      <c r="BI79" s="611"/>
      <c r="BJ79" s="611"/>
      <c r="BK79" s="611"/>
      <c r="BL79" s="611"/>
      <c r="BM79" s="611"/>
      <c r="BN79" s="612"/>
      <c r="BO79" s="253"/>
      <c r="BP79" s="253"/>
      <c r="BQ79" s="522"/>
      <c r="BR79" s="522"/>
      <c r="BS79" s="216"/>
      <c r="BT79" s="253"/>
      <c r="BU79" s="522"/>
      <c r="BV79" s="522"/>
      <c r="BW79" s="119"/>
      <c r="BX79" s="120"/>
      <c r="BY79" s="377" t="s">
        <v>298</v>
      </c>
      <c r="BZ79" s="377"/>
      <c r="CA79" s="377"/>
      <c r="CB79" s="558"/>
      <c r="CC79" s="558"/>
      <c r="CD79" s="558"/>
      <c r="CE79" s="645" t="s">
        <v>965</v>
      </c>
      <c r="CF79" s="645"/>
      <c r="CG79" s="536"/>
      <c r="CH79" s="536"/>
      <c r="CI79" s="536"/>
      <c r="CJ79" s="536"/>
      <c r="CK79" s="77"/>
      <c r="CL79" s="857" t="s">
        <v>1167</v>
      </c>
      <c r="CM79" s="857"/>
      <c r="CN79" s="857"/>
      <c r="CO79" s="857"/>
      <c r="CP79" s="861"/>
      <c r="CQ79" s="860"/>
      <c r="CR79" s="77"/>
      <c r="CS79" s="857" t="s">
        <v>1169</v>
      </c>
      <c r="CT79" s="857"/>
      <c r="CU79" s="857"/>
      <c r="CV79" s="857"/>
      <c r="CW79" s="861"/>
      <c r="CX79" s="860"/>
      <c r="CY79" s="119"/>
    </row>
    <row r="80" spans="1:103" ht="7.5" customHeight="1">
      <c r="A80" s="120"/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27"/>
      <c r="P80" s="227"/>
      <c r="Q80" s="77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27"/>
      <c r="AF80" s="227"/>
      <c r="AG80" s="119"/>
      <c r="AH80" s="120"/>
      <c r="AI80" s="376" t="s">
        <v>279</v>
      </c>
      <c r="AJ80" s="376"/>
      <c r="AK80" s="593"/>
      <c r="AL80" s="594"/>
      <c r="AM80" s="594"/>
      <c r="AN80" s="594"/>
      <c r="AO80" s="595"/>
      <c r="AP80" s="599" t="s">
        <v>832</v>
      </c>
      <c r="AQ80" s="600"/>
      <c r="AR80" s="601"/>
      <c r="AS80" s="624"/>
      <c r="AT80" s="625"/>
      <c r="AU80" s="625"/>
      <c r="AV80" s="625"/>
      <c r="AW80" s="625"/>
      <c r="AX80" s="625"/>
      <c r="AY80" s="625"/>
      <c r="AZ80" s="625"/>
      <c r="BA80" s="625"/>
      <c r="BB80" s="77"/>
      <c r="BC80" s="77"/>
      <c r="BD80" s="376" t="s">
        <v>279</v>
      </c>
      <c r="BE80" s="376"/>
      <c r="BF80" s="593"/>
      <c r="BG80" s="594"/>
      <c r="BH80" s="594"/>
      <c r="BI80" s="594"/>
      <c r="BJ80" s="595"/>
      <c r="BK80" s="599" t="s">
        <v>832</v>
      </c>
      <c r="BL80" s="600"/>
      <c r="BM80" s="601"/>
      <c r="BN80" s="624"/>
      <c r="BO80" s="625"/>
      <c r="BP80" s="625"/>
      <c r="BQ80" s="625"/>
      <c r="BR80" s="625"/>
      <c r="BS80" s="625"/>
      <c r="BT80" s="625"/>
      <c r="BU80" s="625"/>
      <c r="BV80" s="625"/>
      <c r="BW80" s="119"/>
      <c r="BX80" s="120"/>
      <c r="BY80" s="377"/>
      <c r="BZ80" s="377"/>
      <c r="CA80" s="377"/>
      <c r="CB80" s="558"/>
      <c r="CC80" s="558"/>
      <c r="CD80" s="558"/>
      <c r="CE80" s="645"/>
      <c r="CF80" s="645"/>
      <c r="CG80" s="536"/>
      <c r="CH80" s="536"/>
      <c r="CI80" s="536"/>
      <c r="CJ80" s="536"/>
      <c r="CK80" s="77"/>
      <c r="CL80" s="857"/>
      <c r="CM80" s="857"/>
      <c r="CN80" s="857"/>
      <c r="CO80" s="857"/>
      <c r="CP80" s="860"/>
      <c r="CQ80" s="860"/>
      <c r="CR80" s="77"/>
      <c r="CS80" s="857"/>
      <c r="CT80" s="857"/>
      <c r="CU80" s="857"/>
      <c r="CV80" s="857"/>
      <c r="CW80" s="860"/>
      <c r="CX80" s="860"/>
      <c r="CY80" s="119"/>
    </row>
    <row r="81" spans="1:103" ht="7.5" customHeight="1">
      <c r="A81" s="120"/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27"/>
      <c r="P81" s="227"/>
      <c r="Q81" s="77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27"/>
      <c r="AF81" s="227"/>
      <c r="AG81" s="119"/>
      <c r="AH81" s="120"/>
      <c r="AI81" s="377"/>
      <c r="AJ81" s="377"/>
      <c r="AK81" s="596"/>
      <c r="AL81" s="597"/>
      <c r="AM81" s="597"/>
      <c r="AN81" s="597"/>
      <c r="AO81" s="598"/>
      <c r="AP81" s="602"/>
      <c r="AQ81" s="603"/>
      <c r="AR81" s="604"/>
      <c r="AS81" s="625"/>
      <c r="AT81" s="625"/>
      <c r="AU81" s="625"/>
      <c r="AV81" s="625"/>
      <c r="AW81" s="625"/>
      <c r="AX81" s="625"/>
      <c r="AY81" s="625"/>
      <c r="AZ81" s="625"/>
      <c r="BA81" s="625"/>
      <c r="BB81" s="77"/>
      <c r="BC81" s="77"/>
      <c r="BD81" s="377"/>
      <c r="BE81" s="377"/>
      <c r="BF81" s="596"/>
      <c r="BG81" s="597"/>
      <c r="BH81" s="597"/>
      <c r="BI81" s="597"/>
      <c r="BJ81" s="598"/>
      <c r="BK81" s="602"/>
      <c r="BL81" s="603"/>
      <c r="BM81" s="604"/>
      <c r="BN81" s="625"/>
      <c r="BO81" s="625"/>
      <c r="BP81" s="625"/>
      <c r="BQ81" s="625"/>
      <c r="BR81" s="625"/>
      <c r="BS81" s="625"/>
      <c r="BT81" s="625"/>
      <c r="BU81" s="625"/>
      <c r="BV81" s="625"/>
      <c r="BW81" s="119"/>
      <c r="BX81" s="120"/>
      <c r="BY81" s="77"/>
      <c r="BZ81" s="77"/>
      <c r="CA81" s="645" t="s">
        <v>282</v>
      </c>
      <c r="CB81" s="645"/>
      <c r="CC81" s="645" t="s">
        <v>322</v>
      </c>
      <c r="CD81" s="645"/>
      <c r="CE81" s="645" t="s">
        <v>284</v>
      </c>
      <c r="CF81" s="645"/>
      <c r="CG81" s="645" t="s">
        <v>283</v>
      </c>
      <c r="CH81" s="645"/>
      <c r="CI81" s="645" t="s">
        <v>278</v>
      </c>
      <c r="CJ81" s="645"/>
      <c r="CK81" s="77"/>
      <c r="CL81" s="857" t="s">
        <v>1168</v>
      </c>
      <c r="CM81" s="857"/>
      <c r="CN81" s="857"/>
      <c r="CO81" s="857"/>
      <c r="CP81" s="861"/>
      <c r="CQ81" s="860"/>
      <c r="CR81" s="77"/>
      <c r="CS81" s="857" t="s">
        <v>88</v>
      </c>
      <c r="CT81" s="857"/>
      <c r="CU81" s="857"/>
      <c r="CV81" s="857"/>
      <c r="CW81" s="861"/>
      <c r="CX81" s="860"/>
      <c r="CY81" s="119"/>
    </row>
    <row r="82" spans="1:103" ht="7.5" customHeight="1">
      <c r="A82" s="120"/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27"/>
      <c r="P82" s="227"/>
      <c r="Q82" s="77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27"/>
      <c r="AF82" s="227"/>
      <c r="AG82" s="119"/>
      <c r="AH82" s="120"/>
      <c r="AI82" s="327" t="s">
        <v>288</v>
      </c>
      <c r="AJ82" s="328"/>
      <c r="AK82" s="328"/>
      <c r="AL82" s="328"/>
      <c r="AM82" s="328"/>
      <c r="AN82" s="328"/>
      <c r="AO82" s="328"/>
      <c r="AP82" s="328"/>
      <c r="AQ82" s="346"/>
      <c r="AR82" s="227"/>
      <c r="AS82" s="227"/>
      <c r="AT82" s="327" t="s">
        <v>1136</v>
      </c>
      <c r="AU82" s="328"/>
      <c r="AV82" s="328"/>
      <c r="AW82" s="328"/>
      <c r="AX82" s="328"/>
      <c r="AY82" s="346"/>
      <c r="AZ82" s="342"/>
      <c r="BA82" s="343"/>
      <c r="BB82" s="77"/>
      <c r="BC82" s="77"/>
      <c r="BD82" s="327" t="s">
        <v>288</v>
      </c>
      <c r="BE82" s="328"/>
      <c r="BF82" s="328"/>
      <c r="BG82" s="328"/>
      <c r="BH82" s="328"/>
      <c r="BI82" s="328"/>
      <c r="BJ82" s="328"/>
      <c r="BK82" s="328"/>
      <c r="BL82" s="346"/>
      <c r="BM82" s="227"/>
      <c r="BN82" s="227"/>
      <c r="BO82" s="327" t="s">
        <v>1136</v>
      </c>
      <c r="BP82" s="328"/>
      <c r="BQ82" s="328"/>
      <c r="BR82" s="328"/>
      <c r="BS82" s="328"/>
      <c r="BT82" s="346"/>
      <c r="BU82" s="342"/>
      <c r="BV82" s="343"/>
      <c r="BW82" s="119"/>
      <c r="BX82" s="120"/>
      <c r="BY82" s="77"/>
      <c r="BZ82" s="77"/>
      <c r="CA82" s="645"/>
      <c r="CB82" s="645"/>
      <c r="CC82" s="645"/>
      <c r="CD82" s="645"/>
      <c r="CE82" s="645"/>
      <c r="CF82" s="645"/>
      <c r="CG82" s="645"/>
      <c r="CH82" s="645"/>
      <c r="CI82" s="645"/>
      <c r="CJ82" s="645"/>
      <c r="CK82" s="77"/>
      <c r="CL82" s="857"/>
      <c r="CM82" s="857"/>
      <c r="CN82" s="857"/>
      <c r="CO82" s="857"/>
      <c r="CP82" s="860"/>
      <c r="CQ82" s="860"/>
      <c r="CR82" s="77"/>
      <c r="CS82" s="857"/>
      <c r="CT82" s="857"/>
      <c r="CU82" s="857"/>
      <c r="CV82" s="857"/>
      <c r="CW82" s="860"/>
      <c r="CX82" s="860"/>
      <c r="CY82" s="119"/>
    </row>
    <row r="83" spans="1:103" ht="7.5" customHeight="1">
      <c r="A83" s="120"/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27"/>
      <c r="P83" s="227"/>
      <c r="Q83" s="77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27"/>
      <c r="AF83" s="227"/>
      <c r="AG83" s="119"/>
      <c r="AH83" s="120"/>
      <c r="AI83" s="329"/>
      <c r="AJ83" s="330"/>
      <c r="AK83" s="330"/>
      <c r="AL83" s="330"/>
      <c r="AM83" s="330"/>
      <c r="AN83" s="330"/>
      <c r="AO83" s="330"/>
      <c r="AP83" s="330"/>
      <c r="AQ83" s="347"/>
      <c r="AR83" s="227"/>
      <c r="AS83" s="227"/>
      <c r="AT83" s="383"/>
      <c r="AU83" s="384"/>
      <c r="AV83" s="384"/>
      <c r="AW83" s="384"/>
      <c r="AX83" s="384"/>
      <c r="AY83" s="385"/>
      <c r="AZ83" s="344"/>
      <c r="BA83" s="345"/>
      <c r="BB83" s="77"/>
      <c r="BC83" s="77"/>
      <c r="BD83" s="329"/>
      <c r="BE83" s="330"/>
      <c r="BF83" s="330"/>
      <c r="BG83" s="330"/>
      <c r="BH83" s="330"/>
      <c r="BI83" s="330"/>
      <c r="BJ83" s="330"/>
      <c r="BK83" s="330"/>
      <c r="BL83" s="347"/>
      <c r="BM83" s="227"/>
      <c r="BN83" s="227"/>
      <c r="BO83" s="383"/>
      <c r="BP83" s="384"/>
      <c r="BQ83" s="384"/>
      <c r="BR83" s="384"/>
      <c r="BS83" s="384"/>
      <c r="BT83" s="385"/>
      <c r="BU83" s="344"/>
      <c r="BV83" s="345"/>
      <c r="BW83" s="119"/>
      <c r="BX83" s="120"/>
      <c r="BY83" s="645" t="s">
        <v>962</v>
      </c>
      <c r="BZ83" s="645"/>
      <c r="CA83" s="558"/>
      <c r="CB83" s="558"/>
      <c r="CC83" s="558"/>
      <c r="CD83" s="558"/>
      <c r="CE83" s="558"/>
      <c r="CF83" s="558"/>
      <c r="CG83" s="558"/>
      <c r="CH83" s="558"/>
      <c r="CI83" s="558"/>
      <c r="CJ83" s="558"/>
      <c r="CK83" s="77"/>
      <c r="CL83" s="857" t="s">
        <v>1172</v>
      </c>
      <c r="CM83" s="857"/>
      <c r="CN83" s="857"/>
      <c r="CO83" s="857"/>
      <c r="CP83" s="861"/>
      <c r="CQ83" s="860"/>
      <c r="CR83" s="77"/>
      <c r="CS83" s="857" t="s">
        <v>89</v>
      </c>
      <c r="CT83" s="857"/>
      <c r="CU83" s="857"/>
      <c r="CV83" s="857"/>
      <c r="CW83" s="861"/>
      <c r="CX83" s="860"/>
      <c r="CY83" s="119"/>
    </row>
    <row r="84" spans="1:103" ht="7.5" customHeight="1">
      <c r="A84" s="120"/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27"/>
      <c r="P84" s="227"/>
      <c r="Q84" s="77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27"/>
      <c r="AF84" s="227"/>
      <c r="AG84" s="119"/>
      <c r="AH84" s="120"/>
      <c r="AI84" s="795"/>
      <c r="AJ84" s="796"/>
      <c r="AK84" s="796"/>
      <c r="AL84" s="796"/>
      <c r="AM84" s="796"/>
      <c r="AN84" s="796"/>
      <c r="AO84" s="796"/>
      <c r="AP84" s="796"/>
      <c r="AQ84" s="796"/>
      <c r="AR84" s="796"/>
      <c r="AS84" s="796"/>
      <c r="AT84" s="796"/>
      <c r="AU84" s="796"/>
      <c r="AV84" s="796"/>
      <c r="AW84" s="796"/>
      <c r="AX84" s="796"/>
      <c r="AY84" s="796"/>
      <c r="AZ84" s="796"/>
      <c r="BA84" s="797"/>
      <c r="BB84" s="77"/>
      <c r="BC84" s="77"/>
      <c r="BD84" s="795"/>
      <c r="BE84" s="796"/>
      <c r="BF84" s="796"/>
      <c r="BG84" s="796"/>
      <c r="BH84" s="796"/>
      <c r="BI84" s="796"/>
      <c r="BJ84" s="796"/>
      <c r="BK84" s="796"/>
      <c r="BL84" s="796"/>
      <c r="BM84" s="796"/>
      <c r="BN84" s="796"/>
      <c r="BO84" s="796"/>
      <c r="BP84" s="796"/>
      <c r="BQ84" s="796"/>
      <c r="BR84" s="796"/>
      <c r="BS84" s="796"/>
      <c r="BT84" s="796"/>
      <c r="BU84" s="796"/>
      <c r="BV84" s="797"/>
      <c r="BW84" s="119"/>
      <c r="BX84" s="120"/>
      <c r="BY84" s="645"/>
      <c r="BZ84" s="645"/>
      <c r="CA84" s="558"/>
      <c r="CB84" s="558"/>
      <c r="CC84" s="558"/>
      <c r="CD84" s="558"/>
      <c r="CE84" s="558"/>
      <c r="CF84" s="558"/>
      <c r="CG84" s="558"/>
      <c r="CH84" s="558"/>
      <c r="CI84" s="558"/>
      <c r="CJ84" s="558"/>
      <c r="CK84" s="77"/>
      <c r="CL84" s="857"/>
      <c r="CM84" s="857"/>
      <c r="CN84" s="857"/>
      <c r="CO84" s="857"/>
      <c r="CP84" s="860"/>
      <c r="CQ84" s="860"/>
      <c r="CR84" s="77"/>
      <c r="CS84" s="857"/>
      <c r="CT84" s="857"/>
      <c r="CU84" s="857"/>
      <c r="CV84" s="857"/>
      <c r="CW84" s="860"/>
      <c r="CX84" s="860"/>
      <c r="CY84" s="119"/>
    </row>
    <row r="85" spans="1:103" ht="7.5" customHeight="1">
      <c r="A85" s="120"/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27"/>
      <c r="P85" s="227"/>
      <c r="Q85" s="77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27"/>
      <c r="AF85" s="227"/>
      <c r="AG85" s="119"/>
      <c r="AH85" s="120"/>
      <c r="AI85" s="798"/>
      <c r="AJ85" s="799"/>
      <c r="AK85" s="799"/>
      <c r="AL85" s="799"/>
      <c r="AM85" s="799"/>
      <c r="AN85" s="799"/>
      <c r="AO85" s="799"/>
      <c r="AP85" s="799"/>
      <c r="AQ85" s="799"/>
      <c r="AR85" s="799"/>
      <c r="AS85" s="799"/>
      <c r="AT85" s="799"/>
      <c r="AU85" s="799"/>
      <c r="AV85" s="799"/>
      <c r="AW85" s="799"/>
      <c r="AX85" s="799"/>
      <c r="AY85" s="799"/>
      <c r="AZ85" s="799"/>
      <c r="BA85" s="800"/>
      <c r="BB85" s="77"/>
      <c r="BC85" s="77"/>
      <c r="BD85" s="798"/>
      <c r="BE85" s="799"/>
      <c r="BF85" s="799"/>
      <c r="BG85" s="799"/>
      <c r="BH85" s="799"/>
      <c r="BI85" s="799"/>
      <c r="BJ85" s="799"/>
      <c r="BK85" s="799"/>
      <c r="BL85" s="799"/>
      <c r="BM85" s="799"/>
      <c r="BN85" s="799"/>
      <c r="BO85" s="799"/>
      <c r="BP85" s="799"/>
      <c r="BQ85" s="799"/>
      <c r="BR85" s="799"/>
      <c r="BS85" s="799"/>
      <c r="BT85" s="799"/>
      <c r="BU85" s="799"/>
      <c r="BV85" s="800"/>
      <c r="BW85" s="119"/>
      <c r="BX85" s="120"/>
      <c r="BY85" s="645" t="s">
        <v>831</v>
      </c>
      <c r="BZ85" s="645"/>
      <c r="CA85" s="620"/>
      <c r="CB85" s="620"/>
      <c r="CC85" s="620"/>
      <c r="CD85" s="620"/>
      <c r="CE85" s="620"/>
      <c r="CF85" s="620"/>
      <c r="CG85" s="620"/>
      <c r="CH85" s="620"/>
      <c r="CI85" s="620"/>
      <c r="CJ85" s="620"/>
      <c r="CK85" s="77"/>
      <c r="CL85" s="857" t="s">
        <v>80</v>
      </c>
      <c r="CM85" s="857"/>
      <c r="CN85" s="857"/>
      <c r="CO85" s="857"/>
      <c r="CP85" s="861"/>
      <c r="CQ85" s="860"/>
      <c r="CR85" s="77"/>
      <c r="CS85" s="857" t="s">
        <v>90</v>
      </c>
      <c r="CT85" s="857"/>
      <c r="CU85" s="857"/>
      <c r="CV85" s="857"/>
      <c r="CW85" s="861"/>
      <c r="CX85" s="860"/>
      <c r="CY85" s="119"/>
    </row>
    <row r="86" spans="1:103" ht="7.5" customHeight="1">
      <c r="A86" s="120"/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27"/>
      <c r="P86" s="227"/>
      <c r="Q86" s="77"/>
      <c r="R86" s="272"/>
      <c r="S86" s="272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27"/>
      <c r="AF86" s="227"/>
      <c r="AG86" s="119"/>
      <c r="AH86" s="120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119"/>
      <c r="BX86" s="120"/>
      <c r="BY86" s="645"/>
      <c r="BZ86" s="645"/>
      <c r="CA86" s="620"/>
      <c r="CB86" s="620"/>
      <c r="CC86" s="620"/>
      <c r="CD86" s="620"/>
      <c r="CE86" s="620"/>
      <c r="CF86" s="620"/>
      <c r="CG86" s="620"/>
      <c r="CH86" s="620"/>
      <c r="CI86" s="620"/>
      <c r="CJ86" s="620"/>
      <c r="CK86" s="77"/>
      <c r="CL86" s="857"/>
      <c r="CM86" s="857"/>
      <c r="CN86" s="857"/>
      <c r="CO86" s="857"/>
      <c r="CP86" s="860"/>
      <c r="CQ86" s="860"/>
      <c r="CR86" s="77"/>
      <c r="CS86" s="857"/>
      <c r="CT86" s="857"/>
      <c r="CU86" s="857"/>
      <c r="CV86" s="857"/>
      <c r="CW86" s="860"/>
      <c r="CX86" s="860"/>
      <c r="CY86" s="119"/>
    </row>
    <row r="87" spans="1:103" ht="7.5" customHeight="1">
      <c r="A87" s="120"/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27"/>
      <c r="P87" s="227"/>
      <c r="Q87" s="77"/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27"/>
      <c r="AF87" s="227"/>
      <c r="AG87" s="119"/>
      <c r="AH87" s="142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125"/>
      <c r="BW87" s="144"/>
      <c r="BX87" s="120"/>
      <c r="BY87" s="510" t="s">
        <v>97</v>
      </c>
      <c r="BZ87" s="510"/>
      <c r="CA87" s="510"/>
      <c r="CB87" s="510"/>
      <c r="CC87" s="835"/>
      <c r="CD87" s="835"/>
      <c r="CE87" s="835"/>
      <c r="CF87" s="835"/>
      <c r="CG87" s="835"/>
      <c r="CH87" s="835"/>
      <c r="CI87" s="835"/>
      <c r="CJ87" s="835"/>
      <c r="CK87" s="77"/>
      <c r="CL87" s="857" t="s">
        <v>81</v>
      </c>
      <c r="CM87" s="857"/>
      <c r="CN87" s="857"/>
      <c r="CO87" s="857"/>
      <c r="CP87" s="861"/>
      <c r="CQ87" s="860"/>
      <c r="CR87" s="77"/>
      <c r="CS87" s="857" t="s">
        <v>91</v>
      </c>
      <c r="CT87" s="857"/>
      <c r="CU87" s="857"/>
      <c r="CV87" s="857"/>
      <c r="CW87" s="861"/>
      <c r="CX87" s="860"/>
      <c r="CY87" s="119"/>
    </row>
    <row r="88" spans="1:103" ht="7.5" customHeight="1">
      <c r="A88" s="120"/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27"/>
      <c r="P88" s="227"/>
      <c r="Q88" s="77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27"/>
      <c r="AF88" s="227"/>
      <c r="AG88" s="119"/>
      <c r="AH88" s="150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51"/>
      <c r="BX88" s="120"/>
      <c r="BY88" s="510"/>
      <c r="BZ88" s="510"/>
      <c r="CA88" s="510"/>
      <c r="CB88" s="510"/>
      <c r="CC88" s="835"/>
      <c r="CD88" s="835"/>
      <c r="CE88" s="835"/>
      <c r="CF88" s="835"/>
      <c r="CG88" s="835"/>
      <c r="CH88" s="835"/>
      <c r="CI88" s="835"/>
      <c r="CJ88" s="835"/>
      <c r="CK88" s="77"/>
      <c r="CL88" s="857"/>
      <c r="CM88" s="857"/>
      <c r="CN88" s="857"/>
      <c r="CO88" s="857"/>
      <c r="CP88" s="860"/>
      <c r="CQ88" s="860"/>
      <c r="CR88" s="77"/>
      <c r="CS88" s="857"/>
      <c r="CT88" s="857"/>
      <c r="CU88" s="857"/>
      <c r="CV88" s="857"/>
      <c r="CW88" s="860"/>
      <c r="CX88" s="860"/>
      <c r="CY88" s="119"/>
    </row>
    <row r="89" spans="1:103" ht="7.5" customHeight="1" thickBot="1">
      <c r="A89" s="120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27"/>
      <c r="P89" s="227"/>
      <c r="Q89" s="77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27"/>
      <c r="AF89" s="227"/>
      <c r="AG89" s="119"/>
      <c r="AH89" s="120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119"/>
      <c r="BX89" s="120"/>
      <c r="BY89" s="835"/>
      <c r="BZ89" s="835"/>
      <c r="CA89" s="835"/>
      <c r="CB89" s="835"/>
      <c r="CC89" s="835"/>
      <c r="CD89" s="835"/>
      <c r="CE89" s="835"/>
      <c r="CF89" s="835"/>
      <c r="CG89" s="835"/>
      <c r="CH89" s="835"/>
      <c r="CI89" s="835"/>
      <c r="CJ89" s="835"/>
      <c r="CK89" s="77"/>
      <c r="CL89" s="857" t="s">
        <v>82</v>
      </c>
      <c r="CM89" s="857"/>
      <c r="CN89" s="857"/>
      <c r="CO89" s="857"/>
      <c r="CP89" s="861"/>
      <c r="CQ89" s="860"/>
      <c r="CR89" s="77"/>
      <c r="CS89" s="857"/>
      <c r="CT89" s="857"/>
      <c r="CU89" s="857"/>
      <c r="CV89" s="857"/>
      <c r="CW89" s="861"/>
      <c r="CX89" s="860"/>
      <c r="CY89" s="119"/>
    </row>
    <row r="90" spans="1:103" ht="7.5" customHeight="1">
      <c r="A90" s="120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27"/>
      <c r="P90" s="227"/>
      <c r="Q90" s="77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27"/>
      <c r="AF90" s="227"/>
      <c r="AG90" s="119"/>
      <c r="AH90" s="120"/>
      <c r="AI90" s="569" t="s">
        <v>1148</v>
      </c>
      <c r="AJ90" s="570"/>
      <c r="AK90" s="570"/>
      <c r="AL90" s="571"/>
      <c r="AM90" s="147"/>
      <c r="AN90" s="143"/>
      <c r="AO90" s="143"/>
      <c r="AP90" s="143"/>
      <c r="AQ90" s="143"/>
      <c r="AR90" s="143"/>
      <c r="AS90" s="143"/>
      <c r="AT90" s="143"/>
      <c r="AU90" s="143"/>
      <c r="AV90" s="143"/>
      <c r="AW90" s="145"/>
      <c r="AX90" s="569" t="s">
        <v>1149</v>
      </c>
      <c r="AY90" s="570"/>
      <c r="AZ90" s="570"/>
      <c r="BA90" s="571"/>
      <c r="BB90" s="77"/>
      <c r="BC90" s="77"/>
      <c r="BD90" s="569" t="s">
        <v>1155</v>
      </c>
      <c r="BE90" s="570"/>
      <c r="BF90" s="570"/>
      <c r="BG90" s="571"/>
      <c r="BH90" s="147"/>
      <c r="BI90" s="143"/>
      <c r="BJ90" s="143"/>
      <c r="BK90" s="143"/>
      <c r="BL90" s="143"/>
      <c r="BM90" s="143"/>
      <c r="BN90" s="143"/>
      <c r="BO90" s="143"/>
      <c r="BP90" s="143"/>
      <c r="BQ90" s="143"/>
      <c r="BR90" s="145"/>
      <c r="BS90" s="569" t="s">
        <v>1156</v>
      </c>
      <c r="BT90" s="570"/>
      <c r="BU90" s="570"/>
      <c r="BV90" s="571"/>
      <c r="BW90" s="119"/>
      <c r="BX90" s="120"/>
      <c r="BY90" s="835"/>
      <c r="BZ90" s="835"/>
      <c r="CA90" s="835"/>
      <c r="CB90" s="835"/>
      <c r="CC90" s="835"/>
      <c r="CD90" s="835"/>
      <c r="CE90" s="835"/>
      <c r="CF90" s="835"/>
      <c r="CG90" s="835"/>
      <c r="CH90" s="835"/>
      <c r="CI90" s="835"/>
      <c r="CJ90" s="835"/>
      <c r="CK90" s="77"/>
      <c r="CL90" s="857"/>
      <c r="CM90" s="857"/>
      <c r="CN90" s="857"/>
      <c r="CO90" s="857"/>
      <c r="CP90" s="860"/>
      <c r="CQ90" s="860"/>
      <c r="CR90" s="77"/>
      <c r="CS90" s="857"/>
      <c r="CT90" s="857"/>
      <c r="CU90" s="857"/>
      <c r="CV90" s="857"/>
      <c r="CW90" s="860"/>
      <c r="CX90" s="860"/>
      <c r="CY90" s="119"/>
    </row>
    <row r="91" spans="1:103" ht="7.5" customHeight="1" thickBot="1">
      <c r="A91" s="120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27"/>
      <c r="P91" s="227"/>
      <c r="Q91" s="77"/>
      <c r="R91" s="272"/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27"/>
      <c r="AF91" s="227"/>
      <c r="AG91" s="119"/>
      <c r="AH91" s="120"/>
      <c r="AI91" s="572"/>
      <c r="AJ91" s="573"/>
      <c r="AK91" s="573"/>
      <c r="AL91" s="574"/>
      <c r="AM91" s="148"/>
      <c r="AN91" s="125"/>
      <c r="AO91" s="125"/>
      <c r="AP91" s="125"/>
      <c r="AQ91" s="125"/>
      <c r="AR91" s="77"/>
      <c r="AS91" s="125"/>
      <c r="AT91" s="125"/>
      <c r="AU91" s="125"/>
      <c r="AV91" s="125"/>
      <c r="AW91" s="146"/>
      <c r="AX91" s="572"/>
      <c r="AY91" s="573"/>
      <c r="AZ91" s="573"/>
      <c r="BA91" s="574"/>
      <c r="BB91" s="77"/>
      <c r="BC91" s="77"/>
      <c r="BD91" s="572"/>
      <c r="BE91" s="573"/>
      <c r="BF91" s="573"/>
      <c r="BG91" s="574"/>
      <c r="BH91" s="148"/>
      <c r="BI91" s="125"/>
      <c r="BJ91" s="125"/>
      <c r="BK91" s="125"/>
      <c r="BL91" s="125"/>
      <c r="BM91" s="77"/>
      <c r="BN91" s="125"/>
      <c r="BO91" s="125"/>
      <c r="BP91" s="125"/>
      <c r="BQ91" s="125"/>
      <c r="BR91" s="146"/>
      <c r="BS91" s="572"/>
      <c r="BT91" s="573"/>
      <c r="BU91" s="573"/>
      <c r="BV91" s="574"/>
      <c r="BW91" s="119"/>
      <c r="BX91" s="120"/>
      <c r="BY91" s="835"/>
      <c r="BZ91" s="835"/>
      <c r="CA91" s="835"/>
      <c r="CB91" s="835"/>
      <c r="CC91" s="835"/>
      <c r="CD91" s="835"/>
      <c r="CE91" s="835"/>
      <c r="CF91" s="835"/>
      <c r="CG91" s="835"/>
      <c r="CH91" s="835"/>
      <c r="CI91" s="835"/>
      <c r="CJ91" s="835"/>
      <c r="CK91" s="77"/>
      <c r="CL91" s="510" t="s">
        <v>96</v>
      </c>
      <c r="CM91" s="510"/>
      <c r="CN91" s="510"/>
      <c r="CO91" s="510"/>
      <c r="CP91" s="835"/>
      <c r="CQ91" s="835"/>
      <c r="CR91" s="835"/>
      <c r="CS91" s="835"/>
      <c r="CT91" s="835"/>
      <c r="CU91" s="835"/>
      <c r="CV91" s="835"/>
      <c r="CW91" s="835"/>
      <c r="CX91" s="835"/>
      <c r="CY91" s="119"/>
    </row>
    <row r="92" spans="1:103" ht="7.5" customHeight="1">
      <c r="A92" s="120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27"/>
      <c r="P92" s="227"/>
      <c r="Q92" s="77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27"/>
      <c r="AF92" s="227"/>
      <c r="AG92" s="119"/>
      <c r="AH92" s="120"/>
      <c r="AI92" s="815"/>
      <c r="AJ92" s="816"/>
      <c r="AK92" s="816"/>
      <c r="AL92" s="816"/>
      <c r="AM92" s="816"/>
      <c r="AN92" s="816"/>
      <c r="AO92" s="816"/>
      <c r="AP92" s="816"/>
      <c r="AQ92" s="817"/>
      <c r="AR92" s="77"/>
      <c r="AS92" s="821"/>
      <c r="AT92" s="822"/>
      <c r="AU92" s="822"/>
      <c r="AV92" s="822"/>
      <c r="AW92" s="822"/>
      <c r="AX92" s="822"/>
      <c r="AY92" s="822"/>
      <c r="AZ92" s="822"/>
      <c r="BA92" s="823"/>
      <c r="BB92" s="77"/>
      <c r="BC92" s="77"/>
      <c r="BD92" s="815"/>
      <c r="BE92" s="816"/>
      <c r="BF92" s="816"/>
      <c r="BG92" s="816"/>
      <c r="BH92" s="816"/>
      <c r="BI92" s="816"/>
      <c r="BJ92" s="816"/>
      <c r="BK92" s="816"/>
      <c r="BL92" s="817"/>
      <c r="BM92" s="77"/>
      <c r="BN92" s="821"/>
      <c r="BO92" s="822"/>
      <c r="BP92" s="822"/>
      <c r="BQ92" s="822"/>
      <c r="BR92" s="822"/>
      <c r="BS92" s="822"/>
      <c r="BT92" s="822"/>
      <c r="BU92" s="822"/>
      <c r="BV92" s="823"/>
      <c r="BW92" s="119"/>
      <c r="BX92" s="120"/>
      <c r="BY92" s="835"/>
      <c r="BZ92" s="835"/>
      <c r="CA92" s="835"/>
      <c r="CB92" s="835"/>
      <c r="CC92" s="835"/>
      <c r="CD92" s="835"/>
      <c r="CE92" s="835"/>
      <c r="CF92" s="835"/>
      <c r="CG92" s="835"/>
      <c r="CH92" s="835"/>
      <c r="CI92" s="835"/>
      <c r="CJ92" s="835"/>
      <c r="CK92" s="77"/>
      <c r="CL92" s="510"/>
      <c r="CM92" s="510"/>
      <c r="CN92" s="510"/>
      <c r="CO92" s="510"/>
      <c r="CP92" s="835"/>
      <c r="CQ92" s="835"/>
      <c r="CR92" s="835"/>
      <c r="CS92" s="835"/>
      <c r="CT92" s="835"/>
      <c r="CU92" s="835"/>
      <c r="CV92" s="835"/>
      <c r="CW92" s="835"/>
      <c r="CX92" s="835"/>
      <c r="CY92" s="119"/>
    </row>
    <row r="93" spans="1:103" ht="7.5" customHeight="1">
      <c r="A93" s="120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27"/>
      <c r="P93" s="227"/>
      <c r="Q93" s="77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27"/>
      <c r="AF93" s="227"/>
      <c r="AG93" s="119"/>
      <c r="AH93" s="120"/>
      <c r="AI93" s="818"/>
      <c r="AJ93" s="819"/>
      <c r="AK93" s="819"/>
      <c r="AL93" s="819"/>
      <c r="AM93" s="819"/>
      <c r="AN93" s="819"/>
      <c r="AO93" s="819"/>
      <c r="AP93" s="819"/>
      <c r="AQ93" s="820"/>
      <c r="AR93" s="77"/>
      <c r="AS93" s="824"/>
      <c r="AT93" s="825"/>
      <c r="AU93" s="825"/>
      <c r="AV93" s="825"/>
      <c r="AW93" s="825"/>
      <c r="AX93" s="825"/>
      <c r="AY93" s="825"/>
      <c r="AZ93" s="825"/>
      <c r="BA93" s="826"/>
      <c r="BB93" s="77"/>
      <c r="BC93" s="77"/>
      <c r="BD93" s="818"/>
      <c r="BE93" s="819"/>
      <c r="BF93" s="819"/>
      <c r="BG93" s="819"/>
      <c r="BH93" s="819"/>
      <c r="BI93" s="819"/>
      <c r="BJ93" s="819"/>
      <c r="BK93" s="819"/>
      <c r="BL93" s="820"/>
      <c r="BM93" s="77"/>
      <c r="BN93" s="824"/>
      <c r="BO93" s="825"/>
      <c r="BP93" s="825"/>
      <c r="BQ93" s="825"/>
      <c r="BR93" s="825"/>
      <c r="BS93" s="825"/>
      <c r="BT93" s="825"/>
      <c r="BU93" s="825"/>
      <c r="BV93" s="826"/>
      <c r="BW93" s="119"/>
      <c r="BX93" s="120"/>
      <c r="BY93" s="510" t="s">
        <v>1161</v>
      </c>
      <c r="BZ93" s="510"/>
      <c r="CA93" s="510"/>
      <c r="CB93" s="510"/>
      <c r="CC93" s="510"/>
      <c r="CD93" s="510"/>
      <c r="CE93" s="836"/>
      <c r="CF93" s="836"/>
      <c r="CG93" s="836"/>
      <c r="CH93" s="836"/>
      <c r="CI93" s="836"/>
      <c r="CJ93" s="836"/>
      <c r="CK93" s="77"/>
      <c r="CL93" s="510" t="s">
        <v>102</v>
      </c>
      <c r="CM93" s="510"/>
      <c r="CN93" s="510"/>
      <c r="CO93" s="510"/>
      <c r="CP93" s="835"/>
      <c r="CQ93" s="835"/>
      <c r="CR93" s="835"/>
      <c r="CS93" s="835"/>
      <c r="CT93" s="835"/>
      <c r="CU93" s="835"/>
      <c r="CV93" s="835"/>
      <c r="CW93" s="835"/>
      <c r="CX93" s="835"/>
      <c r="CY93" s="119"/>
    </row>
    <row r="94" spans="1:103" ht="7.5" customHeight="1">
      <c r="A94" s="120"/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27"/>
      <c r="P94" s="227"/>
      <c r="Q94" s="77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27"/>
      <c r="AF94" s="227"/>
      <c r="AG94" s="119"/>
      <c r="AH94" s="120"/>
      <c r="AI94" s="172" t="s">
        <v>298</v>
      </c>
      <c r="AJ94" s="172"/>
      <c r="AK94" s="141"/>
      <c r="AL94" s="141"/>
      <c r="AM94" s="172" t="s">
        <v>103</v>
      </c>
      <c r="AN94" s="172"/>
      <c r="AO94" s="172"/>
      <c r="AP94" s="172"/>
      <c r="AQ94" s="172"/>
      <c r="AR94" s="77"/>
      <c r="AS94" s="172" t="s">
        <v>103</v>
      </c>
      <c r="AT94" s="172"/>
      <c r="AU94" s="172"/>
      <c r="AV94" s="172"/>
      <c r="AW94" s="172"/>
      <c r="AX94" s="143"/>
      <c r="AY94" s="143"/>
      <c r="AZ94" s="172" t="s">
        <v>298</v>
      </c>
      <c r="BA94" s="172"/>
      <c r="BB94" s="77"/>
      <c r="BC94" s="77"/>
      <c r="BD94" s="172" t="s">
        <v>298</v>
      </c>
      <c r="BE94" s="172"/>
      <c r="BF94" s="141"/>
      <c r="BG94" s="141"/>
      <c r="BH94" s="172" t="s">
        <v>103</v>
      </c>
      <c r="BI94" s="172"/>
      <c r="BJ94" s="172"/>
      <c r="BK94" s="172"/>
      <c r="BL94" s="172"/>
      <c r="BM94" s="77"/>
      <c r="BN94" s="172" t="s">
        <v>103</v>
      </c>
      <c r="BO94" s="172"/>
      <c r="BP94" s="172"/>
      <c r="BQ94" s="172"/>
      <c r="BR94" s="172"/>
      <c r="BS94" s="143"/>
      <c r="BT94" s="143"/>
      <c r="BU94" s="172" t="s">
        <v>298</v>
      </c>
      <c r="BV94" s="172"/>
      <c r="BW94" s="119"/>
      <c r="BX94" s="120"/>
      <c r="BY94" s="510"/>
      <c r="BZ94" s="510"/>
      <c r="CA94" s="510"/>
      <c r="CB94" s="510"/>
      <c r="CC94" s="510"/>
      <c r="CD94" s="510"/>
      <c r="CE94" s="836"/>
      <c r="CF94" s="836"/>
      <c r="CG94" s="836"/>
      <c r="CH94" s="836"/>
      <c r="CI94" s="836"/>
      <c r="CJ94" s="836"/>
      <c r="CK94" s="77"/>
      <c r="CL94" s="510"/>
      <c r="CM94" s="510"/>
      <c r="CN94" s="510"/>
      <c r="CO94" s="510"/>
      <c r="CP94" s="835"/>
      <c r="CQ94" s="835"/>
      <c r="CR94" s="835"/>
      <c r="CS94" s="835"/>
      <c r="CT94" s="835"/>
      <c r="CU94" s="835"/>
      <c r="CV94" s="835"/>
      <c r="CW94" s="835"/>
      <c r="CX94" s="835"/>
      <c r="CY94" s="119"/>
    </row>
    <row r="95" spans="1:103" ht="7.5" customHeight="1">
      <c r="A95" s="120"/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27"/>
      <c r="P95" s="227"/>
      <c r="Q95" s="77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27"/>
      <c r="AF95" s="227"/>
      <c r="AG95" s="119"/>
      <c r="AH95" s="120"/>
      <c r="AI95" s="172"/>
      <c r="AJ95" s="172"/>
      <c r="AK95" s="4"/>
      <c r="AL95" s="4"/>
      <c r="AM95" s="172"/>
      <c r="AN95" s="172"/>
      <c r="AO95" s="172"/>
      <c r="AP95" s="172"/>
      <c r="AQ95" s="172"/>
      <c r="AR95" s="77"/>
      <c r="AS95" s="172"/>
      <c r="AT95" s="172"/>
      <c r="AU95" s="172"/>
      <c r="AV95" s="172"/>
      <c r="AW95" s="172"/>
      <c r="AX95" s="4"/>
      <c r="AY95" s="4"/>
      <c r="AZ95" s="172"/>
      <c r="BA95" s="172"/>
      <c r="BB95" s="77"/>
      <c r="BC95" s="77"/>
      <c r="BD95" s="172"/>
      <c r="BE95" s="172"/>
      <c r="BF95" s="4"/>
      <c r="BG95" s="4"/>
      <c r="BH95" s="172"/>
      <c r="BI95" s="172"/>
      <c r="BJ95" s="172"/>
      <c r="BK95" s="172"/>
      <c r="BL95" s="172"/>
      <c r="BM95" s="77"/>
      <c r="BN95" s="172"/>
      <c r="BO95" s="172"/>
      <c r="BP95" s="172"/>
      <c r="BQ95" s="172"/>
      <c r="BR95" s="172"/>
      <c r="BS95" s="4"/>
      <c r="BT95" s="4"/>
      <c r="BU95" s="172"/>
      <c r="BV95" s="172"/>
      <c r="BW95" s="119"/>
      <c r="BX95" s="120"/>
      <c r="BY95" s="838"/>
      <c r="BZ95" s="839"/>
      <c r="CA95" s="839"/>
      <c r="CB95" s="839"/>
      <c r="CC95" s="839"/>
      <c r="CD95" s="840"/>
      <c r="CE95" s="838"/>
      <c r="CF95" s="839"/>
      <c r="CG95" s="839"/>
      <c r="CH95" s="839"/>
      <c r="CI95" s="839"/>
      <c r="CJ95" s="840"/>
      <c r="CK95" s="77"/>
      <c r="CL95" s="835"/>
      <c r="CM95" s="835"/>
      <c r="CN95" s="835"/>
      <c r="CO95" s="835"/>
      <c r="CP95" s="835"/>
      <c r="CQ95" s="835"/>
      <c r="CR95" s="835"/>
      <c r="CS95" s="835"/>
      <c r="CT95" s="835"/>
      <c r="CU95" s="835"/>
      <c r="CV95" s="835"/>
      <c r="CW95" s="835"/>
      <c r="CX95" s="835"/>
      <c r="CY95" s="119"/>
    </row>
    <row r="96" spans="1:103" ht="7.5" customHeight="1">
      <c r="A96" s="120"/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27"/>
      <c r="P96" s="227"/>
      <c r="Q96" s="77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27"/>
      <c r="AF96" s="227"/>
      <c r="AG96" s="119"/>
      <c r="AH96" s="120"/>
      <c r="AI96" s="558"/>
      <c r="AJ96" s="558"/>
      <c r="AK96" s="228" t="s">
        <v>282</v>
      </c>
      <c r="AL96" s="228"/>
      <c r="AM96" s="530"/>
      <c r="AN96" s="531"/>
      <c r="AO96" s="532"/>
      <c r="AP96" s="532"/>
      <c r="AQ96" s="533"/>
      <c r="AR96" s="77"/>
      <c r="AS96" s="814"/>
      <c r="AT96" s="531"/>
      <c r="AU96" s="532"/>
      <c r="AV96" s="532"/>
      <c r="AW96" s="533"/>
      <c r="AX96" s="228" t="s">
        <v>1150</v>
      </c>
      <c r="AY96" s="228"/>
      <c r="AZ96" s="558"/>
      <c r="BA96" s="558"/>
      <c r="BB96" s="77"/>
      <c r="BC96" s="77"/>
      <c r="BD96" s="558"/>
      <c r="BE96" s="558"/>
      <c r="BF96" s="228" t="s">
        <v>282</v>
      </c>
      <c r="BG96" s="228"/>
      <c r="BH96" s="530"/>
      <c r="BI96" s="531"/>
      <c r="BJ96" s="532"/>
      <c r="BK96" s="532"/>
      <c r="BL96" s="533"/>
      <c r="BM96" s="77"/>
      <c r="BN96" s="814"/>
      <c r="BO96" s="531"/>
      <c r="BP96" s="532"/>
      <c r="BQ96" s="532"/>
      <c r="BR96" s="533"/>
      <c r="BS96" s="228" t="s">
        <v>1150</v>
      </c>
      <c r="BT96" s="228"/>
      <c r="BU96" s="558"/>
      <c r="BV96" s="558"/>
      <c r="BW96" s="119"/>
      <c r="BX96" s="120"/>
      <c r="BY96" s="841"/>
      <c r="BZ96" s="842"/>
      <c r="CA96" s="842"/>
      <c r="CB96" s="842"/>
      <c r="CC96" s="842"/>
      <c r="CD96" s="843"/>
      <c r="CE96" s="841"/>
      <c r="CF96" s="842"/>
      <c r="CG96" s="842"/>
      <c r="CH96" s="842"/>
      <c r="CI96" s="842"/>
      <c r="CJ96" s="843"/>
      <c r="CK96" s="77"/>
      <c r="CL96" s="835"/>
      <c r="CM96" s="835"/>
      <c r="CN96" s="835"/>
      <c r="CO96" s="835"/>
      <c r="CP96" s="835"/>
      <c r="CQ96" s="835"/>
      <c r="CR96" s="835"/>
      <c r="CS96" s="835"/>
      <c r="CT96" s="835"/>
      <c r="CU96" s="835"/>
      <c r="CV96" s="835"/>
      <c r="CW96" s="835"/>
      <c r="CX96" s="835"/>
      <c r="CY96" s="119"/>
    </row>
    <row r="97" spans="1:103" ht="7.5" customHeight="1">
      <c r="A97" s="120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27"/>
      <c r="P97" s="227"/>
      <c r="Q97" s="77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27"/>
      <c r="AF97" s="227"/>
      <c r="AG97" s="119"/>
      <c r="AH97" s="120"/>
      <c r="AI97" s="558"/>
      <c r="AJ97" s="558"/>
      <c r="AK97" s="228"/>
      <c r="AL97" s="228"/>
      <c r="AM97" s="530"/>
      <c r="AN97" s="531"/>
      <c r="AO97" s="534"/>
      <c r="AP97" s="534"/>
      <c r="AQ97" s="535"/>
      <c r="AR97" s="77"/>
      <c r="AS97" s="814"/>
      <c r="AT97" s="531"/>
      <c r="AU97" s="534"/>
      <c r="AV97" s="534"/>
      <c r="AW97" s="535"/>
      <c r="AX97" s="228"/>
      <c r="AY97" s="228"/>
      <c r="AZ97" s="558"/>
      <c r="BA97" s="558"/>
      <c r="BB97" s="77"/>
      <c r="BC97" s="77"/>
      <c r="BD97" s="558"/>
      <c r="BE97" s="558"/>
      <c r="BF97" s="228"/>
      <c r="BG97" s="228"/>
      <c r="BH97" s="530"/>
      <c r="BI97" s="531"/>
      <c r="BJ97" s="534"/>
      <c r="BK97" s="534"/>
      <c r="BL97" s="535"/>
      <c r="BM97" s="77"/>
      <c r="BN97" s="814"/>
      <c r="BO97" s="531"/>
      <c r="BP97" s="534"/>
      <c r="BQ97" s="534"/>
      <c r="BR97" s="535"/>
      <c r="BS97" s="228"/>
      <c r="BT97" s="228"/>
      <c r="BU97" s="558"/>
      <c r="BV97" s="558"/>
      <c r="BW97" s="119"/>
      <c r="BX97" s="120"/>
      <c r="BY97" s="844" t="s">
        <v>101</v>
      </c>
      <c r="BZ97" s="845"/>
      <c r="CA97" s="846"/>
      <c r="CB97" s="850"/>
      <c r="CC97" s="851"/>
      <c r="CD97" s="851"/>
      <c r="CE97" s="851"/>
      <c r="CF97" s="851"/>
      <c r="CG97" s="851"/>
      <c r="CH97" s="851"/>
      <c r="CI97" s="851"/>
      <c r="CJ97" s="852"/>
      <c r="CK97" s="77"/>
      <c r="CL97" s="835"/>
      <c r="CM97" s="835"/>
      <c r="CN97" s="835"/>
      <c r="CO97" s="835"/>
      <c r="CP97" s="835"/>
      <c r="CQ97" s="835"/>
      <c r="CR97" s="835"/>
      <c r="CS97" s="835"/>
      <c r="CT97" s="835"/>
      <c r="CU97" s="835"/>
      <c r="CV97" s="835"/>
      <c r="CW97" s="835"/>
      <c r="CX97" s="835"/>
      <c r="CY97" s="119"/>
    </row>
    <row r="98" spans="1:103" ht="7.5" customHeight="1">
      <c r="A98" s="120"/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27"/>
      <c r="P98" s="227"/>
      <c r="Q98" s="77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27"/>
      <c r="AF98" s="227"/>
      <c r="AG98" s="119"/>
      <c r="AH98" s="862"/>
      <c r="AI98" s="120"/>
      <c r="AJ98" s="77"/>
      <c r="AK98" s="354" t="s">
        <v>322</v>
      </c>
      <c r="AL98" s="356"/>
      <c r="AM98" s="530"/>
      <c r="AN98" s="531"/>
      <c r="AO98" s="532"/>
      <c r="AP98" s="532"/>
      <c r="AQ98" s="533"/>
      <c r="AR98" s="77"/>
      <c r="AS98" s="814"/>
      <c r="AT98" s="531"/>
      <c r="AU98" s="532"/>
      <c r="AV98" s="532"/>
      <c r="AW98" s="533"/>
      <c r="AX98" s="354" t="s">
        <v>1151</v>
      </c>
      <c r="AY98" s="356"/>
      <c r="AZ98" s="77"/>
      <c r="BA98" s="119"/>
      <c r="BB98" s="77"/>
      <c r="BC98" s="77"/>
      <c r="BD98" s="120"/>
      <c r="BE98" s="77"/>
      <c r="BF98" s="354" t="s">
        <v>322</v>
      </c>
      <c r="BG98" s="356"/>
      <c r="BH98" s="530"/>
      <c r="BI98" s="531"/>
      <c r="BJ98" s="532"/>
      <c r="BK98" s="532"/>
      <c r="BL98" s="533"/>
      <c r="BM98" s="77"/>
      <c r="BN98" s="814"/>
      <c r="BO98" s="531"/>
      <c r="BP98" s="532"/>
      <c r="BQ98" s="532"/>
      <c r="BR98" s="533"/>
      <c r="BS98" s="354" t="s">
        <v>1151</v>
      </c>
      <c r="BT98" s="356"/>
      <c r="BU98" s="77"/>
      <c r="BV98" s="119"/>
      <c r="BW98" s="119"/>
      <c r="BX98" s="120"/>
      <c r="BY98" s="847"/>
      <c r="BZ98" s="848"/>
      <c r="CA98" s="849"/>
      <c r="CB98" s="853"/>
      <c r="CC98" s="854"/>
      <c r="CD98" s="854"/>
      <c r="CE98" s="854"/>
      <c r="CF98" s="854"/>
      <c r="CG98" s="854"/>
      <c r="CH98" s="854"/>
      <c r="CI98" s="854"/>
      <c r="CJ98" s="855"/>
      <c r="CK98" s="77"/>
      <c r="CL98" s="835"/>
      <c r="CM98" s="835"/>
      <c r="CN98" s="835"/>
      <c r="CO98" s="835"/>
      <c r="CP98" s="835"/>
      <c r="CQ98" s="835"/>
      <c r="CR98" s="835"/>
      <c r="CS98" s="835"/>
      <c r="CT98" s="835"/>
      <c r="CU98" s="835"/>
      <c r="CV98" s="835"/>
      <c r="CW98" s="835"/>
      <c r="CX98" s="835"/>
      <c r="CY98" s="119"/>
    </row>
    <row r="99" spans="1:103" ht="7.5" customHeight="1">
      <c r="A99" s="120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27"/>
      <c r="P99" s="227"/>
      <c r="Q99" s="77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27"/>
      <c r="AF99" s="227"/>
      <c r="AG99" s="119"/>
      <c r="AH99" s="120"/>
      <c r="AI99" s="120"/>
      <c r="AJ99" s="77"/>
      <c r="AK99" s="357"/>
      <c r="AL99" s="359"/>
      <c r="AM99" s="530"/>
      <c r="AN99" s="531"/>
      <c r="AO99" s="534"/>
      <c r="AP99" s="534"/>
      <c r="AQ99" s="535"/>
      <c r="AR99" s="77"/>
      <c r="AS99" s="814"/>
      <c r="AT99" s="531"/>
      <c r="AU99" s="534"/>
      <c r="AV99" s="534"/>
      <c r="AW99" s="535"/>
      <c r="AX99" s="357"/>
      <c r="AY99" s="359"/>
      <c r="AZ99" s="77"/>
      <c r="BA99" s="119"/>
      <c r="BB99" s="77"/>
      <c r="BC99" s="77"/>
      <c r="BD99" s="120"/>
      <c r="BE99" s="77"/>
      <c r="BF99" s="357"/>
      <c r="BG99" s="359"/>
      <c r="BH99" s="530"/>
      <c r="BI99" s="531"/>
      <c r="BJ99" s="534"/>
      <c r="BK99" s="534"/>
      <c r="BL99" s="535"/>
      <c r="BM99" s="77"/>
      <c r="BN99" s="814"/>
      <c r="BO99" s="531"/>
      <c r="BP99" s="534"/>
      <c r="BQ99" s="534"/>
      <c r="BR99" s="535"/>
      <c r="BS99" s="357"/>
      <c r="BT99" s="359"/>
      <c r="BU99" s="77"/>
      <c r="BV99" s="119"/>
      <c r="BW99" s="119"/>
      <c r="BX99" s="120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119"/>
    </row>
    <row r="100" spans="1:103" ht="7.5" customHeight="1" thickBot="1">
      <c r="A100" s="120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27"/>
      <c r="P100" s="227"/>
      <c r="Q100" s="77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27"/>
      <c r="AF100" s="227"/>
      <c r="AG100" s="119"/>
      <c r="AH100" s="120"/>
      <c r="AI100" s="120"/>
      <c r="AJ100" s="77"/>
      <c r="AK100" s="354" t="s">
        <v>284</v>
      </c>
      <c r="AL100" s="356"/>
      <c r="AM100" s="530"/>
      <c r="AN100" s="531"/>
      <c r="AO100" s="532"/>
      <c r="AP100" s="532"/>
      <c r="AQ100" s="533"/>
      <c r="AR100" s="77"/>
      <c r="AS100" s="814"/>
      <c r="AT100" s="531"/>
      <c r="AU100" s="532"/>
      <c r="AV100" s="532"/>
      <c r="AW100" s="533"/>
      <c r="AX100" s="354" t="s">
        <v>1152</v>
      </c>
      <c r="AY100" s="356"/>
      <c r="AZ100" s="77"/>
      <c r="BA100" s="119"/>
      <c r="BB100" s="77"/>
      <c r="BC100" s="77"/>
      <c r="BD100" s="120"/>
      <c r="BE100" s="77"/>
      <c r="BF100" s="354" t="s">
        <v>284</v>
      </c>
      <c r="BG100" s="356"/>
      <c r="BH100" s="530"/>
      <c r="BI100" s="531"/>
      <c r="BJ100" s="532"/>
      <c r="BK100" s="532"/>
      <c r="BL100" s="533"/>
      <c r="BM100" s="77"/>
      <c r="BN100" s="814"/>
      <c r="BO100" s="531"/>
      <c r="BP100" s="532"/>
      <c r="BQ100" s="532"/>
      <c r="BR100" s="533"/>
      <c r="BS100" s="354" t="s">
        <v>1152</v>
      </c>
      <c r="BT100" s="356"/>
      <c r="BU100" s="77"/>
      <c r="BV100" s="119"/>
      <c r="BW100" s="119"/>
      <c r="BX100" s="120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119"/>
    </row>
    <row r="101" spans="1:103" ht="7.5" customHeight="1">
      <c r="A101" s="120"/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27"/>
      <c r="P101" s="227"/>
      <c r="Q101" s="77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27"/>
      <c r="AF101" s="227"/>
      <c r="AG101" s="119"/>
      <c r="AH101" s="120"/>
      <c r="AI101" s="120"/>
      <c r="AJ101" s="77"/>
      <c r="AK101" s="357"/>
      <c r="AL101" s="359"/>
      <c r="AM101" s="530"/>
      <c r="AN101" s="531"/>
      <c r="AO101" s="534"/>
      <c r="AP101" s="534"/>
      <c r="AQ101" s="535"/>
      <c r="AR101" s="77"/>
      <c r="AS101" s="814"/>
      <c r="AT101" s="531"/>
      <c r="AU101" s="534"/>
      <c r="AV101" s="534"/>
      <c r="AW101" s="535"/>
      <c r="AX101" s="357"/>
      <c r="AY101" s="359"/>
      <c r="AZ101" s="77"/>
      <c r="BA101" s="119"/>
      <c r="BB101" s="77"/>
      <c r="BC101" s="77"/>
      <c r="BD101" s="120"/>
      <c r="BE101" s="77"/>
      <c r="BF101" s="357"/>
      <c r="BG101" s="359"/>
      <c r="BH101" s="530"/>
      <c r="BI101" s="531"/>
      <c r="BJ101" s="534"/>
      <c r="BK101" s="534"/>
      <c r="BL101" s="535"/>
      <c r="BM101" s="77"/>
      <c r="BN101" s="814"/>
      <c r="BO101" s="531"/>
      <c r="BP101" s="534"/>
      <c r="BQ101" s="534"/>
      <c r="BR101" s="535"/>
      <c r="BS101" s="357"/>
      <c r="BT101" s="359"/>
      <c r="BU101" s="77"/>
      <c r="BV101" s="119"/>
      <c r="BW101" s="119"/>
      <c r="BX101" s="120"/>
      <c r="BY101" s="569" t="s">
        <v>1164</v>
      </c>
      <c r="BZ101" s="570"/>
      <c r="CA101" s="570"/>
      <c r="CB101" s="570"/>
      <c r="CC101" s="570"/>
      <c r="CD101" s="570"/>
      <c r="CE101" s="570"/>
      <c r="CF101" s="570"/>
      <c r="CG101" s="570"/>
      <c r="CH101" s="570"/>
      <c r="CI101" s="570"/>
      <c r="CJ101" s="571"/>
      <c r="CK101" s="77"/>
      <c r="CL101" s="510" t="s">
        <v>73</v>
      </c>
      <c r="CM101" s="510"/>
      <c r="CN101" s="510"/>
      <c r="CO101" s="510"/>
      <c r="CP101" s="510"/>
      <c r="CQ101" s="510"/>
      <c r="CR101" s="510"/>
      <c r="CS101" s="510"/>
      <c r="CT101" s="510"/>
      <c r="CU101" s="510"/>
      <c r="CV101" s="510"/>
      <c r="CW101" s="510"/>
      <c r="CX101" s="510"/>
      <c r="CY101" s="119"/>
    </row>
    <row r="102" spans="1:103" ht="7.5" customHeight="1" thickBot="1">
      <c r="A102" s="120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27"/>
      <c r="P102" s="227"/>
      <c r="Q102" s="77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27"/>
      <c r="AF102" s="227"/>
      <c r="AG102" s="119"/>
      <c r="AH102" s="120"/>
      <c r="AI102" s="120"/>
      <c r="AJ102" s="77"/>
      <c r="AK102" s="354" t="s">
        <v>283</v>
      </c>
      <c r="AL102" s="356"/>
      <c r="AM102" s="530"/>
      <c r="AN102" s="531"/>
      <c r="AO102" s="532"/>
      <c r="AP102" s="532"/>
      <c r="AQ102" s="533"/>
      <c r="AR102" s="77"/>
      <c r="AS102" s="814"/>
      <c r="AT102" s="531"/>
      <c r="AU102" s="532"/>
      <c r="AV102" s="532"/>
      <c r="AW102" s="533"/>
      <c r="AX102" s="354" t="s">
        <v>1153</v>
      </c>
      <c r="AY102" s="356"/>
      <c r="AZ102" s="77"/>
      <c r="BA102" s="119"/>
      <c r="BB102" s="77"/>
      <c r="BC102" s="77"/>
      <c r="BD102" s="120"/>
      <c r="BE102" s="77"/>
      <c r="BF102" s="354" t="s">
        <v>283</v>
      </c>
      <c r="BG102" s="356"/>
      <c r="BH102" s="530"/>
      <c r="BI102" s="531"/>
      <c r="BJ102" s="532"/>
      <c r="BK102" s="532"/>
      <c r="BL102" s="533"/>
      <c r="BM102" s="77"/>
      <c r="BN102" s="814"/>
      <c r="BO102" s="531"/>
      <c r="BP102" s="532"/>
      <c r="BQ102" s="532"/>
      <c r="BR102" s="533"/>
      <c r="BS102" s="354" t="s">
        <v>1153</v>
      </c>
      <c r="BT102" s="356"/>
      <c r="BU102" s="77"/>
      <c r="BV102" s="119"/>
      <c r="BW102" s="119"/>
      <c r="BX102" s="120"/>
      <c r="BY102" s="572"/>
      <c r="BZ102" s="573"/>
      <c r="CA102" s="573"/>
      <c r="CB102" s="573"/>
      <c r="CC102" s="573"/>
      <c r="CD102" s="573"/>
      <c r="CE102" s="573"/>
      <c r="CF102" s="573"/>
      <c r="CG102" s="573"/>
      <c r="CH102" s="573"/>
      <c r="CI102" s="573"/>
      <c r="CJ102" s="574"/>
      <c r="CK102" s="77"/>
      <c r="CL102" s="510"/>
      <c r="CM102" s="510"/>
      <c r="CN102" s="510"/>
      <c r="CO102" s="510"/>
      <c r="CP102" s="510"/>
      <c r="CQ102" s="510"/>
      <c r="CR102" s="510"/>
      <c r="CS102" s="510"/>
      <c r="CT102" s="510"/>
      <c r="CU102" s="510"/>
      <c r="CV102" s="510"/>
      <c r="CW102" s="510"/>
      <c r="CX102" s="510"/>
      <c r="CY102" s="119"/>
    </row>
    <row r="103" spans="1:103" ht="7.5" customHeight="1">
      <c r="A103" s="120"/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27"/>
      <c r="P103" s="227"/>
      <c r="Q103" s="77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27"/>
      <c r="AF103" s="227"/>
      <c r="AG103" s="119"/>
      <c r="AH103" s="120"/>
      <c r="AI103" s="120"/>
      <c r="AJ103" s="77"/>
      <c r="AK103" s="357"/>
      <c r="AL103" s="359"/>
      <c r="AM103" s="530"/>
      <c r="AN103" s="531"/>
      <c r="AO103" s="534"/>
      <c r="AP103" s="534"/>
      <c r="AQ103" s="535"/>
      <c r="AR103" s="77"/>
      <c r="AS103" s="814"/>
      <c r="AT103" s="531"/>
      <c r="AU103" s="534"/>
      <c r="AV103" s="534"/>
      <c r="AW103" s="535"/>
      <c r="AX103" s="357"/>
      <c r="AY103" s="359"/>
      <c r="AZ103" s="77"/>
      <c r="BA103" s="119"/>
      <c r="BB103" s="77"/>
      <c r="BC103" s="77"/>
      <c r="BD103" s="120"/>
      <c r="BE103" s="77"/>
      <c r="BF103" s="357"/>
      <c r="BG103" s="359"/>
      <c r="BH103" s="530"/>
      <c r="BI103" s="531"/>
      <c r="BJ103" s="534"/>
      <c r="BK103" s="534"/>
      <c r="BL103" s="535"/>
      <c r="BM103" s="77"/>
      <c r="BN103" s="814"/>
      <c r="BO103" s="531"/>
      <c r="BP103" s="534"/>
      <c r="BQ103" s="534"/>
      <c r="BR103" s="535"/>
      <c r="BS103" s="357"/>
      <c r="BT103" s="359"/>
      <c r="BU103" s="77"/>
      <c r="BV103" s="119"/>
      <c r="BW103" s="119"/>
      <c r="BX103" s="120"/>
      <c r="BY103" s="827"/>
      <c r="BZ103" s="827"/>
      <c r="CA103" s="827"/>
      <c r="CB103" s="827"/>
      <c r="CC103" s="827"/>
      <c r="CD103" s="827"/>
      <c r="CE103" s="827"/>
      <c r="CF103" s="827"/>
      <c r="CG103" s="827"/>
      <c r="CH103" s="827"/>
      <c r="CI103" s="827"/>
      <c r="CJ103" s="827"/>
      <c r="CK103" s="77"/>
      <c r="CL103" s="856" t="s">
        <v>1170</v>
      </c>
      <c r="CM103" s="856"/>
      <c r="CN103" s="856"/>
      <c r="CO103" s="856"/>
      <c r="CP103" s="858"/>
      <c r="CQ103" s="859"/>
      <c r="CR103" s="77"/>
      <c r="CS103" s="856" t="s">
        <v>83</v>
      </c>
      <c r="CT103" s="856"/>
      <c r="CU103" s="856"/>
      <c r="CV103" s="856"/>
      <c r="CW103" s="858"/>
      <c r="CX103" s="859"/>
      <c r="CY103" s="119"/>
    </row>
    <row r="104" spans="1:103" ht="7.5" customHeight="1">
      <c r="A104" s="120"/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27"/>
      <c r="P104" s="227"/>
      <c r="Q104" s="77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27"/>
      <c r="AF104" s="227"/>
      <c r="AG104" s="119"/>
      <c r="AH104" s="120"/>
      <c r="AI104" s="120"/>
      <c r="AJ104" s="77"/>
      <c r="AK104" s="354" t="s">
        <v>278</v>
      </c>
      <c r="AL104" s="356"/>
      <c r="AM104" s="530"/>
      <c r="AN104" s="531"/>
      <c r="AO104" s="532"/>
      <c r="AP104" s="532"/>
      <c r="AQ104" s="533"/>
      <c r="AR104" s="77"/>
      <c r="AS104" s="814"/>
      <c r="AT104" s="531"/>
      <c r="AU104" s="532"/>
      <c r="AV104" s="532"/>
      <c r="AW104" s="533"/>
      <c r="AX104" s="354" t="s">
        <v>1154</v>
      </c>
      <c r="AY104" s="356"/>
      <c r="AZ104" s="77"/>
      <c r="BA104" s="119"/>
      <c r="BB104" s="77"/>
      <c r="BC104" s="77"/>
      <c r="BD104" s="120"/>
      <c r="BE104" s="77"/>
      <c r="BF104" s="354" t="s">
        <v>278</v>
      </c>
      <c r="BG104" s="356"/>
      <c r="BH104" s="530"/>
      <c r="BI104" s="531"/>
      <c r="BJ104" s="532"/>
      <c r="BK104" s="532"/>
      <c r="BL104" s="533"/>
      <c r="BM104" s="77"/>
      <c r="BN104" s="814"/>
      <c r="BO104" s="531"/>
      <c r="BP104" s="532"/>
      <c r="BQ104" s="532"/>
      <c r="BR104" s="533"/>
      <c r="BS104" s="354" t="s">
        <v>1154</v>
      </c>
      <c r="BT104" s="356"/>
      <c r="BU104" s="77"/>
      <c r="BV104" s="119"/>
      <c r="BW104" s="119"/>
      <c r="BX104" s="120"/>
      <c r="BY104" s="828"/>
      <c r="BZ104" s="828"/>
      <c r="CA104" s="828"/>
      <c r="CB104" s="828"/>
      <c r="CC104" s="828"/>
      <c r="CD104" s="828"/>
      <c r="CE104" s="828"/>
      <c r="CF104" s="828"/>
      <c r="CG104" s="828"/>
      <c r="CH104" s="828"/>
      <c r="CI104" s="828"/>
      <c r="CJ104" s="828"/>
      <c r="CK104" s="77"/>
      <c r="CL104" s="857"/>
      <c r="CM104" s="857"/>
      <c r="CN104" s="857"/>
      <c r="CO104" s="857"/>
      <c r="CP104" s="860"/>
      <c r="CQ104" s="860"/>
      <c r="CR104" s="77"/>
      <c r="CS104" s="857"/>
      <c r="CT104" s="857"/>
      <c r="CU104" s="857"/>
      <c r="CV104" s="857"/>
      <c r="CW104" s="860"/>
      <c r="CX104" s="860"/>
      <c r="CY104" s="119"/>
    </row>
    <row r="105" spans="1:103" ht="7.5" customHeight="1">
      <c r="A105" s="120"/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27"/>
      <c r="P105" s="227"/>
      <c r="Q105" s="77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27"/>
      <c r="AF105" s="227"/>
      <c r="AG105" s="119"/>
      <c r="AH105" s="120"/>
      <c r="AI105" s="142"/>
      <c r="AJ105" s="125"/>
      <c r="AK105" s="357"/>
      <c r="AL105" s="359"/>
      <c r="AM105" s="530"/>
      <c r="AN105" s="531"/>
      <c r="AO105" s="534"/>
      <c r="AP105" s="534"/>
      <c r="AQ105" s="535"/>
      <c r="AR105" s="125"/>
      <c r="AS105" s="814"/>
      <c r="AT105" s="531"/>
      <c r="AU105" s="534"/>
      <c r="AV105" s="534"/>
      <c r="AW105" s="535"/>
      <c r="AX105" s="357"/>
      <c r="AY105" s="359"/>
      <c r="AZ105" s="125"/>
      <c r="BA105" s="144"/>
      <c r="BB105" s="77"/>
      <c r="BC105" s="77"/>
      <c r="BD105" s="142"/>
      <c r="BE105" s="125"/>
      <c r="BF105" s="357"/>
      <c r="BG105" s="359"/>
      <c r="BH105" s="530"/>
      <c r="BI105" s="531"/>
      <c r="BJ105" s="534"/>
      <c r="BK105" s="534"/>
      <c r="BL105" s="535"/>
      <c r="BM105" s="125"/>
      <c r="BN105" s="814"/>
      <c r="BO105" s="531"/>
      <c r="BP105" s="534"/>
      <c r="BQ105" s="534"/>
      <c r="BR105" s="535"/>
      <c r="BS105" s="357"/>
      <c r="BT105" s="359"/>
      <c r="BU105" s="125"/>
      <c r="BV105" s="144"/>
      <c r="BW105" s="119"/>
      <c r="BX105" s="120"/>
      <c r="BY105" s="172" t="s">
        <v>958</v>
      </c>
      <c r="BZ105" s="172"/>
      <c r="CA105" s="558"/>
      <c r="CB105" s="558"/>
      <c r="CC105" s="286" t="s">
        <v>960</v>
      </c>
      <c r="CD105" s="286"/>
      <c r="CE105" s="558"/>
      <c r="CF105" s="558"/>
      <c r="CG105" s="172" t="s">
        <v>281</v>
      </c>
      <c r="CH105" s="172"/>
      <c r="CI105" s="558"/>
      <c r="CJ105" s="558"/>
      <c r="CK105" s="77"/>
      <c r="CL105" s="857" t="s">
        <v>1171</v>
      </c>
      <c r="CM105" s="857"/>
      <c r="CN105" s="857"/>
      <c r="CO105" s="857"/>
      <c r="CP105" s="861"/>
      <c r="CQ105" s="860"/>
      <c r="CR105" s="77"/>
      <c r="CS105" s="857" t="s">
        <v>84</v>
      </c>
      <c r="CT105" s="857"/>
      <c r="CU105" s="857"/>
      <c r="CV105" s="857"/>
      <c r="CW105" s="861"/>
      <c r="CX105" s="860"/>
      <c r="CY105" s="119"/>
    </row>
    <row r="106" spans="1:103" ht="7.5" customHeight="1">
      <c r="A106" s="120"/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27"/>
      <c r="P106" s="227"/>
      <c r="Q106" s="77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27"/>
      <c r="AF106" s="227"/>
      <c r="AG106" s="119"/>
      <c r="AH106" s="120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119"/>
      <c r="BX106" s="120"/>
      <c r="BY106" s="172"/>
      <c r="BZ106" s="172"/>
      <c r="CA106" s="558"/>
      <c r="CB106" s="558"/>
      <c r="CC106" s="172"/>
      <c r="CD106" s="172"/>
      <c r="CE106" s="558"/>
      <c r="CF106" s="558"/>
      <c r="CG106" s="172"/>
      <c r="CH106" s="172"/>
      <c r="CI106" s="558"/>
      <c r="CJ106" s="558"/>
      <c r="CK106" s="77"/>
      <c r="CL106" s="857"/>
      <c r="CM106" s="857"/>
      <c r="CN106" s="857"/>
      <c r="CO106" s="857"/>
      <c r="CP106" s="860"/>
      <c r="CQ106" s="860"/>
      <c r="CR106" s="77"/>
      <c r="CS106" s="857"/>
      <c r="CT106" s="857"/>
      <c r="CU106" s="857"/>
      <c r="CV106" s="857"/>
      <c r="CW106" s="860"/>
      <c r="CX106" s="860"/>
      <c r="CY106" s="119"/>
    </row>
    <row r="107" spans="1:103" ht="7.5" customHeight="1">
      <c r="A107" s="120"/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27"/>
      <c r="P107" s="227"/>
      <c r="Q107" s="77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27"/>
      <c r="AF107" s="227"/>
      <c r="AG107" s="119"/>
      <c r="AH107" s="142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5"/>
      <c r="BN107" s="125"/>
      <c r="BO107" s="125"/>
      <c r="BP107" s="125"/>
      <c r="BQ107" s="125"/>
      <c r="BR107" s="125"/>
      <c r="BS107" s="125"/>
      <c r="BT107" s="125"/>
      <c r="BU107" s="125"/>
      <c r="BV107" s="125"/>
      <c r="BW107" s="144"/>
      <c r="BX107" s="120"/>
      <c r="BY107" s="172" t="s">
        <v>959</v>
      </c>
      <c r="BZ107" s="172"/>
      <c r="CA107" s="172"/>
      <c r="CB107" s="558"/>
      <c r="CC107" s="558"/>
      <c r="CD107" s="558"/>
      <c r="CE107" s="327" t="s">
        <v>963</v>
      </c>
      <c r="CF107" s="346"/>
      <c r="CG107" s="829"/>
      <c r="CH107" s="830"/>
      <c r="CI107" s="830"/>
      <c r="CJ107" s="831"/>
      <c r="CK107" s="77"/>
      <c r="CL107" s="857" t="s">
        <v>1165</v>
      </c>
      <c r="CM107" s="857"/>
      <c r="CN107" s="857"/>
      <c r="CO107" s="857"/>
      <c r="CP107" s="861"/>
      <c r="CQ107" s="860"/>
      <c r="CR107" s="77"/>
      <c r="CS107" s="857" t="s">
        <v>85</v>
      </c>
      <c r="CT107" s="857"/>
      <c r="CU107" s="857"/>
      <c r="CV107" s="857"/>
      <c r="CW107" s="861"/>
      <c r="CX107" s="860"/>
      <c r="CY107" s="119"/>
    </row>
    <row r="108" spans="1:103" ht="7.5" customHeight="1">
      <c r="A108" s="120"/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27"/>
      <c r="P108" s="227"/>
      <c r="Q108" s="77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27"/>
      <c r="AF108" s="227"/>
      <c r="AG108" s="119"/>
      <c r="AH108" s="150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51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150"/>
      <c r="BK108" s="143"/>
      <c r="BL108" s="143"/>
      <c r="BM108" s="143"/>
      <c r="BN108" s="143"/>
      <c r="BO108" s="143"/>
      <c r="BP108" s="143"/>
      <c r="BQ108" s="143"/>
      <c r="BR108" s="143"/>
      <c r="BS108" s="143"/>
      <c r="BT108" s="143"/>
      <c r="BU108" s="143"/>
      <c r="BV108" s="143"/>
      <c r="BW108" s="151"/>
      <c r="BX108" s="120"/>
      <c r="BY108" s="172"/>
      <c r="BZ108" s="172"/>
      <c r="CA108" s="172"/>
      <c r="CB108" s="558"/>
      <c r="CC108" s="558"/>
      <c r="CD108" s="558"/>
      <c r="CE108" s="329"/>
      <c r="CF108" s="347"/>
      <c r="CG108" s="832"/>
      <c r="CH108" s="833"/>
      <c r="CI108" s="833"/>
      <c r="CJ108" s="834"/>
      <c r="CK108" s="77"/>
      <c r="CL108" s="857"/>
      <c r="CM108" s="857"/>
      <c r="CN108" s="857"/>
      <c r="CO108" s="857"/>
      <c r="CP108" s="860"/>
      <c r="CQ108" s="860"/>
      <c r="CR108" s="77"/>
      <c r="CS108" s="857"/>
      <c r="CT108" s="857"/>
      <c r="CU108" s="857"/>
      <c r="CV108" s="857"/>
      <c r="CW108" s="860"/>
      <c r="CX108" s="860"/>
      <c r="CY108" s="119"/>
    </row>
    <row r="109" spans="1:103" ht="7.5" customHeight="1" thickBot="1">
      <c r="A109" s="120"/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27"/>
      <c r="P109" s="227"/>
      <c r="Q109" s="77"/>
      <c r="R109" s="272"/>
      <c r="S109" s="272"/>
      <c r="T109" s="272"/>
      <c r="U109" s="272"/>
      <c r="V109" s="272"/>
      <c r="W109" s="272"/>
      <c r="X109" s="272"/>
      <c r="Y109" s="272"/>
      <c r="Z109" s="272"/>
      <c r="AA109" s="272"/>
      <c r="AB109" s="272"/>
      <c r="AC109" s="272"/>
      <c r="AD109" s="272"/>
      <c r="AE109" s="227"/>
      <c r="AF109" s="227"/>
      <c r="AG109" s="119"/>
      <c r="AH109" s="120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119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120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119"/>
      <c r="BX109" s="120"/>
      <c r="BY109" s="327" t="s">
        <v>961</v>
      </c>
      <c r="BZ109" s="328"/>
      <c r="CA109" s="328"/>
      <c r="CB109" s="558"/>
      <c r="CC109" s="558"/>
      <c r="CD109" s="558"/>
      <c r="CE109" s="327" t="s">
        <v>964</v>
      </c>
      <c r="CF109" s="346"/>
      <c r="CG109" s="829"/>
      <c r="CH109" s="830"/>
      <c r="CI109" s="830"/>
      <c r="CJ109" s="831"/>
      <c r="CK109" s="77"/>
      <c r="CL109" s="857" t="s">
        <v>1166</v>
      </c>
      <c r="CM109" s="857"/>
      <c r="CN109" s="857"/>
      <c r="CO109" s="857"/>
      <c r="CP109" s="861"/>
      <c r="CQ109" s="860"/>
      <c r="CR109" s="77"/>
      <c r="CS109" s="857" t="s">
        <v>86</v>
      </c>
      <c r="CT109" s="857"/>
      <c r="CU109" s="857"/>
      <c r="CV109" s="857"/>
      <c r="CW109" s="861"/>
      <c r="CX109" s="860"/>
      <c r="CY109" s="119"/>
    </row>
    <row r="110" spans="1:103" ht="7.5" customHeight="1">
      <c r="A110" s="120"/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27"/>
      <c r="P110" s="227"/>
      <c r="Q110" s="77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27"/>
      <c r="AF110" s="227"/>
      <c r="AG110" s="119"/>
      <c r="AH110" s="120"/>
      <c r="AI110" s="288" t="s">
        <v>325</v>
      </c>
      <c r="AJ110" s="289"/>
      <c r="AK110" s="289"/>
      <c r="AL110" s="290"/>
      <c r="AM110" s="579"/>
      <c r="AN110" s="579"/>
      <c r="AO110" s="579"/>
      <c r="AP110" s="579"/>
      <c r="AQ110" s="579"/>
      <c r="AR110" s="579"/>
      <c r="AS110" s="579"/>
      <c r="AT110" s="580"/>
      <c r="AU110" s="119"/>
      <c r="AV110" s="77"/>
      <c r="AW110" s="288" t="s">
        <v>325</v>
      </c>
      <c r="AX110" s="289"/>
      <c r="AY110" s="289"/>
      <c r="AZ110" s="290"/>
      <c r="BA110" s="579"/>
      <c r="BB110" s="579"/>
      <c r="BC110" s="579"/>
      <c r="BD110" s="579"/>
      <c r="BE110" s="579"/>
      <c r="BF110" s="579"/>
      <c r="BG110" s="579"/>
      <c r="BH110" s="580"/>
      <c r="BI110" s="77"/>
      <c r="BJ110" s="120"/>
      <c r="BK110" s="288" t="s">
        <v>325</v>
      </c>
      <c r="BL110" s="289"/>
      <c r="BM110" s="289"/>
      <c r="BN110" s="290"/>
      <c r="BO110" s="579"/>
      <c r="BP110" s="579"/>
      <c r="BQ110" s="579"/>
      <c r="BR110" s="579"/>
      <c r="BS110" s="579"/>
      <c r="BT110" s="579"/>
      <c r="BU110" s="579"/>
      <c r="BV110" s="580"/>
      <c r="BW110" s="119"/>
      <c r="BX110" s="120"/>
      <c r="BY110" s="383"/>
      <c r="BZ110" s="384"/>
      <c r="CA110" s="384"/>
      <c r="CB110" s="558"/>
      <c r="CC110" s="558"/>
      <c r="CD110" s="558"/>
      <c r="CE110" s="329"/>
      <c r="CF110" s="347"/>
      <c r="CG110" s="832"/>
      <c r="CH110" s="833"/>
      <c r="CI110" s="833"/>
      <c r="CJ110" s="834"/>
      <c r="CK110" s="77"/>
      <c r="CL110" s="857"/>
      <c r="CM110" s="857"/>
      <c r="CN110" s="857"/>
      <c r="CO110" s="857"/>
      <c r="CP110" s="860"/>
      <c r="CQ110" s="860"/>
      <c r="CR110" s="77"/>
      <c r="CS110" s="857"/>
      <c r="CT110" s="857"/>
      <c r="CU110" s="857"/>
      <c r="CV110" s="857"/>
      <c r="CW110" s="860"/>
      <c r="CX110" s="860"/>
      <c r="CY110" s="119"/>
    </row>
    <row r="111" spans="1:103" ht="7.5" customHeight="1">
      <c r="A111" s="120"/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27"/>
      <c r="P111" s="227"/>
      <c r="Q111" s="77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27"/>
      <c r="AF111" s="227"/>
      <c r="AG111" s="119"/>
      <c r="AH111" s="120"/>
      <c r="AI111" s="291"/>
      <c r="AJ111" s="292"/>
      <c r="AK111" s="292"/>
      <c r="AL111" s="293"/>
      <c r="AM111" s="581"/>
      <c r="AN111" s="581"/>
      <c r="AO111" s="581"/>
      <c r="AP111" s="581"/>
      <c r="AQ111" s="581"/>
      <c r="AR111" s="581"/>
      <c r="AS111" s="581"/>
      <c r="AT111" s="582"/>
      <c r="AU111" s="119"/>
      <c r="AV111" s="77"/>
      <c r="AW111" s="291"/>
      <c r="AX111" s="292"/>
      <c r="AY111" s="292"/>
      <c r="AZ111" s="293"/>
      <c r="BA111" s="581"/>
      <c r="BB111" s="581"/>
      <c r="BC111" s="581"/>
      <c r="BD111" s="581"/>
      <c r="BE111" s="581"/>
      <c r="BF111" s="581"/>
      <c r="BG111" s="581"/>
      <c r="BH111" s="582"/>
      <c r="BI111" s="77"/>
      <c r="BJ111" s="120"/>
      <c r="BK111" s="291"/>
      <c r="BL111" s="292"/>
      <c r="BM111" s="292"/>
      <c r="BN111" s="293"/>
      <c r="BO111" s="581"/>
      <c r="BP111" s="581"/>
      <c r="BQ111" s="581"/>
      <c r="BR111" s="581"/>
      <c r="BS111" s="581"/>
      <c r="BT111" s="581"/>
      <c r="BU111" s="581"/>
      <c r="BV111" s="582"/>
      <c r="BW111" s="119"/>
      <c r="BX111" s="120"/>
      <c r="BY111" s="377" t="s">
        <v>298</v>
      </c>
      <c r="BZ111" s="377"/>
      <c r="CA111" s="377"/>
      <c r="CB111" s="558"/>
      <c r="CC111" s="558"/>
      <c r="CD111" s="558"/>
      <c r="CE111" s="645" t="s">
        <v>965</v>
      </c>
      <c r="CF111" s="645"/>
      <c r="CG111" s="536"/>
      <c r="CH111" s="536"/>
      <c r="CI111" s="536"/>
      <c r="CJ111" s="536"/>
      <c r="CK111" s="77"/>
      <c r="CL111" s="857" t="s">
        <v>1167</v>
      </c>
      <c r="CM111" s="857"/>
      <c r="CN111" s="857"/>
      <c r="CO111" s="857"/>
      <c r="CP111" s="861"/>
      <c r="CQ111" s="860"/>
      <c r="CR111" s="77"/>
      <c r="CS111" s="857" t="s">
        <v>1169</v>
      </c>
      <c r="CT111" s="857"/>
      <c r="CU111" s="857"/>
      <c r="CV111" s="857"/>
      <c r="CW111" s="861"/>
      <c r="CX111" s="860"/>
      <c r="CY111" s="119"/>
    </row>
    <row r="112" spans="1:103" ht="7.5" customHeight="1" thickBot="1">
      <c r="A112" s="120"/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27"/>
      <c r="P112" s="227"/>
      <c r="Q112" s="77"/>
      <c r="R112" s="272"/>
      <c r="S112" s="272"/>
      <c r="T112" s="272"/>
      <c r="U112" s="272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27"/>
      <c r="AF112" s="227"/>
      <c r="AG112" s="119"/>
      <c r="AH112" s="120"/>
      <c r="AI112" s="294"/>
      <c r="AJ112" s="295"/>
      <c r="AK112" s="295"/>
      <c r="AL112" s="296"/>
      <c r="AM112" s="583"/>
      <c r="AN112" s="583"/>
      <c r="AO112" s="583"/>
      <c r="AP112" s="583"/>
      <c r="AQ112" s="583"/>
      <c r="AR112" s="583"/>
      <c r="AS112" s="583"/>
      <c r="AT112" s="584"/>
      <c r="AU112" s="119"/>
      <c r="AV112" s="77"/>
      <c r="AW112" s="294"/>
      <c r="AX112" s="295"/>
      <c r="AY112" s="295"/>
      <c r="AZ112" s="296"/>
      <c r="BA112" s="583"/>
      <c r="BB112" s="583"/>
      <c r="BC112" s="583"/>
      <c r="BD112" s="583"/>
      <c r="BE112" s="583"/>
      <c r="BF112" s="583"/>
      <c r="BG112" s="583"/>
      <c r="BH112" s="584"/>
      <c r="BI112" s="77"/>
      <c r="BJ112" s="120"/>
      <c r="BK112" s="294"/>
      <c r="BL112" s="295"/>
      <c r="BM112" s="295"/>
      <c r="BN112" s="296"/>
      <c r="BO112" s="583"/>
      <c r="BP112" s="583"/>
      <c r="BQ112" s="583"/>
      <c r="BR112" s="583"/>
      <c r="BS112" s="583"/>
      <c r="BT112" s="583"/>
      <c r="BU112" s="583"/>
      <c r="BV112" s="584"/>
      <c r="BW112" s="119"/>
      <c r="BX112" s="120"/>
      <c r="BY112" s="377"/>
      <c r="BZ112" s="377"/>
      <c r="CA112" s="377"/>
      <c r="CB112" s="558"/>
      <c r="CC112" s="558"/>
      <c r="CD112" s="558"/>
      <c r="CE112" s="645"/>
      <c r="CF112" s="645"/>
      <c r="CG112" s="536"/>
      <c r="CH112" s="536"/>
      <c r="CI112" s="536"/>
      <c r="CJ112" s="536"/>
      <c r="CK112" s="77"/>
      <c r="CL112" s="857"/>
      <c r="CM112" s="857"/>
      <c r="CN112" s="857"/>
      <c r="CO112" s="857"/>
      <c r="CP112" s="860"/>
      <c r="CQ112" s="860"/>
      <c r="CR112" s="77"/>
      <c r="CS112" s="857"/>
      <c r="CT112" s="857"/>
      <c r="CU112" s="857"/>
      <c r="CV112" s="857"/>
      <c r="CW112" s="860"/>
      <c r="CX112" s="860"/>
      <c r="CY112" s="119"/>
    </row>
    <row r="113" spans="1:103" ht="7.5" customHeight="1">
      <c r="A113" s="120"/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27"/>
      <c r="P113" s="227"/>
      <c r="Q113" s="77"/>
      <c r="R113" s="272"/>
      <c r="S113" s="272"/>
      <c r="T113" s="272"/>
      <c r="U113" s="272"/>
      <c r="V113" s="272"/>
      <c r="W113" s="272"/>
      <c r="X113" s="272"/>
      <c r="Y113" s="272"/>
      <c r="Z113" s="272"/>
      <c r="AA113" s="272"/>
      <c r="AB113" s="272"/>
      <c r="AC113" s="272"/>
      <c r="AD113" s="272"/>
      <c r="AE113" s="227"/>
      <c r="AF113" s="227"/>
      <c r="AG113" s="119"/>
      <c r="AH113" s="120"/>
      <c r="AI113" s="286" t="s">
        <v>308</v>
      </c>
      <c r="AJ113" s="286"/>
      <c r="AK113" s="585"/>
      <c r="AL113" s="585"/>
      <c r="AM113" s="172" t="s">
        <v>309</v>
      </c>
      <c r="AN113" s="172"/>
      <c r="AO113" s="558"/>
      <c r="AP113" s="558"/>
      <c r="AQ113" s="172" t="s">
        <v>310</v>
      </c>
      <c r="AR113" s="172"/>
      <c r="AS113" s="558"/>
      <c r="AT113" s="558"/>
      <c r="AU113" s="119"/>
      <c r="AV113" s="77"/>
      <c r="AW113" s="286" t="s">
        <v>308</v>
      </c>
      <c r="AX113" s="286"/>
      <c r="AY113" s="585"/>
      <c r="AZ113" s="585"/>
      <c r="BA113" s="172" t="s">
        <v>309</v>
      </c>
      <c r="BB113" s="172"/>
      <c r="BC113" s="558"/>
      <c r="BD113" s="558"/>
      <c r="BE113" s="172" t="s">
        <v>310</v>
      </c>
      <c r="BF113" s="172"/>
      <c r="BG113" s="558"/>
      <c r="BH113" s="558"/>
      <c r="BI113" s="77"/>
      <c r="BJ113" s="120"/>
      <c r="BK113" s="286" t="s">
        <v>308</v>
      </c>
      <c r="BL113" s="286"/>
      <c r="BM113" s="585"/>
      <c r="BN113" s="585"/>
      <c r="BO113" s="172" t="s">
        <v>309</v>
      </c>
      <c r="BP113" s="172"/>
      <c r="BQ113" s="558"/>
      <c r="BR113" s="558"/>
      <c r="BS113" s="172" t="s">
        <v>310</v>
      </c>
      <c r="BT113" s="172"/>
      <c r="BU113" s="558"/>
      <c r="BV113" s="558"/>
      <c r="BW113" s="119"/>
      <c r="BX113" s="120"/>
      <c r="BY113" s="77"/>
      <c r="BZ113" s="77"/>
      <c r="CA113" s="645" t="s">
        <v>282</v>
      </c>
      <c r="CB113" s="645"/>
      <c r="CC113" s="645" t="s">
        <v>322</v>
      </c>
      <c r="CD113" s="645"/>
      <c r="CE113" s="645" t="s">
        <v>284</v>
      </c>
      <c r="CF113" s="645"/>
      <c r="CG113" s="645" t="s">
        <v>283</v>
      </c>
      <c r="CH113" s="645"/>
      <c r="CI113" s="645" t="s">
        <v>278</v>
      </c>
      <c r="CJ113" s="645"/>
      <c r="CK113" s="77"/>
      <c r="CL113" s="857" t="s">
        <v>1168</v>
      </c>
      <c r="CM113" s="857"/>
      <c r="CN113" s="857"/>
      <c r="CO113" s="857"/>
      <c r="CP113" s="861"/>
      <c r="CQ113" s="860"/>
      <c r="CR113" s="77"/>
      <c r="CS113" s="857" t="s">
        <v>88</v>
      </c>
      <c r="CT113" s="857"/>
      <c r="CU113" s="857"/>
      <c r="CV113" s="857"/>
      <c r="CW113" s="861"/>
      <c r="CX113" s="860"/>
      <c r="CY113" s="119"/>
    </row>
    <row r="114" spans="1:103" ht="7.5" customHeight="1">
      <c r="A114" s="120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27"/>
      <c r="P114" s="227"/>
      <c r="Q114" s="77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  <c r="AB114" s="272"/>
      <c r="AC114" s="272"/>
      <c r="AD114" s="272"/>
      <c r="AE114" s="227"/>
      <c r="AF114" s="227"/>
      <c r="AG114" s="119"/>
      <c r="AH114" s="120"/>
      <c r="AI114" s="172"/>
      <c r="AJ114" s="172"/>
      <c r="AK114" s="558"/>
      <c r="AL114" s="558"/>
      <c r="AM114" s="172"/>
      <c r="AN114" s="172"/>
      <c r="AO114" s="558"/>
      <c r="AP114" s="558"/>
      <c r="AQ114" s="172"/>
      <c r="AR114" s="172"/>
      <c r="AS114" s="558"/>
      <c r="AT114" s="558"/>
      <c r="AU114" s="119"/>
      <c r="AV114" s="77"/>
      <c r="AW114" s="172"/>
      <c r="AX114" s="172"/>
      <c r="AY114" s="558"/>
      <c r="AZ114" s="558"/>
      <c r="BA114" s="172"/>
      <c r="BB114" s="172"/>
      <c r="BC114" s="558"/>
      <c r="BD114" s="558"/>
      <c r="BE114" s="172"/>
      <c r="BF114" s="172"/>
      <c r="BG114" s="558"/>
      <c r="BH114" s="558"/>
      <c r="BI114" s="77"/>
      <c r="BJ114" s="120"/>
      <c r="BK114" s="172"/>
      <c r="BL114" s="172"/>
      <c r="BM114" s="558"/>
      <c r="BN114" s="558"/>
      <c r="BO114" s="172"/>
      <c r="BP114" s="172"/>
      <c r="BQ114" s="558"/>
      <c r="BR114" s="558"/>
      <c r="BS114" s="172"/>
      <c r="BT114" s="172"/>
      <c r="BU114" s="558"/>
      <c r="BV114" s="558"/>
      <c r="BW114" s="119"/>
      <c r="BX114" s="120"/>
      <c r="BY114" s="77"/>
      <c r="BZ114" s="77"/>
      <c r="CA114" s="645"/>
      <c r="CB114" s="645"/>
      <c r="CC114" s="645"/>
      <c r="CD114" s="645"/>
      <c r="CE114" s="645"/>
      <c r="CF114" s="645"/>
      <c r="CG114" s="645"/>
      <c r="CH114" s="645"/>
      <c r="CI114" s="645"/>
      <c r="CJ114" s="645"/>
      <c r="CK114" s="77"/>
      <c r="CL114" s="857"/>
      <c r="CM114" s="857"/>
      <c r="CN114" s="857"/>
      <c r="CO114" s="857"/>
      <c r="CP114" s="860"/>
      <c r="CQ114" s="860"/>
      <c r="CR114" s="77"/>
      <c r="CS114" s="857"/>
      <c r="CT114" s="857"/>
      <c r="CU114" s="857"/>
      <c r="CV114" s="857"/>
      <c r="CW114" s="860"/>
      <c r="CX114" s="860"/>
      <c r="CY114" s="119"/>
    </row>
    <row r="115" spans="1:103" ht="7.5" customHeight="1">
      <c r="A115" s="120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27"/>
      <c r="P115" s="227"/>
      <c r="Q115" s="77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27"/>
      <c r="AF115" s="227"/>
      <c r="AG115" s="119"/>
      <c r="AH115" s="120"/>
      <c r="AI115" s="172" t="s">
        <v>311</v>
      </c>
      <c r="AJ115" s="172"/>
      <c r="AK115" s="558"/>
      <c r="AL115" s="558"/>
      <c r="AM115" s="172" t="s">
        <v>312</v>
      </c>
      <c r="AN115" s="172"/>
      <c r="AO115" s="558"/>
      <c r="AP115" s="558"/>
      <c r="AQ115" s="172" t="s">
        <v>313</v>
      </c>
      <c r="AR115" s="172"/>
      <c r="AS115" s="558"/>
      <c r="AT115" s="558"/>
      <c r="AU115" s="119"/>
      <c r="AV115" s="77"/>
      <c r="AW115" s="172" t="s">
        <v>311</v>
      </c>
      <c r="AX115" s="172"/>
      <c r="AY115" s="558"/>
      <c r="AZ115" s="558"/>
      <c r="BA115" s="172" t="s">
        <v>312</v>
      </c>
      <c r="BB115" s="172"/>
      <c r="BC115" s="558"/>
      <c r="BD115" s="558"/>
      <c r="BE115" s="172" t="s">
        <v>313</v>
      </c>
      <c r="BF115" s="172"/>
      <c r="BG115" s="558"/>
      <c r="BH115" s="558"/>
      <c r="BI115" s="77"/>
      <c r="BJ115" s="120"/>
      <c r="BK115" s="172" t="s">
        <v>311</v>
      </c>
      <c r="BL115" s="172"/>
      <c r="BM115" s="558"/>
      <c r="BN115" s="558"/>
      <c r="BO115" s="172" t="s">
        <v>312</v>
      </c>
      <c r="BP115" s="172"/>
      <c r="BQ115" s="558"/>
      <c r="BR115" s="558"/>
      <c r="BS115" s="172" t="s">
        <v>313</v>
      </c>
      <c r="BT115" s="172"/>
      <c r="BU115" s="558"/>
      <c r="BV115" s="558"/>
      <c r="BW115" s="119"/>
      <c r="BX115" s="120"/>
      <c r="BY115" s="645" t="s">
        <v>962</v>
      </c>
      <c r="BZ115" s="645"/>
      <c r="CA115" s="558"/>
      <c r="CB115" s="558"/>
      <c r="CC115" s="558"/>
      <c r="CD115" s="558"/>
      <c r="CE115" s="558"/>
      <c r="CF115" s="558"/>
      <c r="CG115" s="558"/>
      <c r="CH115" s="558"/>
      <c r="CI115" s="558"/>
      <c r="CJ115" s="558"/>
      <c r="CK115" s="77"/>
      <c r="CL115" s="857" t="s">
        <v>1172</v>
      </c>
      <c r="CM115" s="857"/>
      <c r="CN115" s="857"/>
      <c r="CO115" s="857"/>
      <c r="CP115" s="861"/>
      <c r="CQ115" s="860"/>
      <c r="CR115" s="77"/>
      <c r="CS115" s="857" t="s">
        <v>89</v>
      </c>
      <c r="CT115" s="857"/>
      <c r="CU115" s="857"/>
      <c r="CV115" s="857"/>
      <c r="CW115" s="861"/>
      <c r="CX115" s="860"/>
      <c r="CY115" s="119"/>
    </row>
    <row r="116" spans="1:103" ht="7.5" customHeight="1">
      <c r="A116" s="120"/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27"/>
      <c r="P116" s="227"/>
      <c r="Q116" s="77"/>
      <c r="R116" s="272"/>
      <c r="S116" s="272"/>
      <c r="T116" s="272"/>
      <c r="U116" s="272"/>
      <c r="V116" s="272"/>
      <c r="W116" s="272"/>
      <c r="X116" s="272"/>
      <c r="Y116" s="272"/>
      <c r="Z116" s="272"/>
      <c r="AA116" s="272"/>
      <c r="AB116" s="272"/>
      <c r="AC116" s="272"/>
      <c r="AD116" s="272"/>
      <c r="AE116" s="227"/>
      <c r="AF116" s="227"/>
      <c r="AG116" s="119"/>
      <c r="AH116" s="120"/>
      <c r="AI116" s="172"/>
      <c r="AJ116" s="172"/>
      <c r="AK116" s="558"/>
      <c r="AL116" s="558"/>
      <c r="AM116" s="172"/>
      <c r="AN116" s="172"/>
      <c r="AO116" s="558"/>
      <c r="AP116" s="558"/>
      <c r="AQ116" s="172"/>
      <c r="AR116" s="172"/>
      <c r="AS116" s="558"/>
      <c r="AT116" s="558"/>
      <c r="AU116" s="119"/>
      <c r="AV116" s="77"/>
      <c r="AW116" s="172"/>
      <c r="AX116" s="172"/>
      <c r="AY116" s="558"/>
      <c r="AZ116" s="558"/>
      <c r="BA116" s="172"/>
      <c r="BB116" s="172"/>
      <c r="BC116" s="558"/>
      <c r="BD116" s="558"/>
      <c r="BE116" s="172"/>
      <c r="BF116" s="172"/>
      <c r="BG116" s="558"/>
      <c r="BH116" s="558"/>
      <c r="BI116" s="77"/>
      <c r="BJ116" s="120"/>
      <c r="BK116" s="172"/>
      <c r="BL116" s="172"/>
      <c r="BM116" s="558"/>
      <c r="BN116" s="558"/>
      <c r="BO116" s="172"/>
      <c r="BP116" s="172"/>
      <c r="BQ116" s="558"/>
      <c r="BR116" s="558"/>
      <c r="BS116" s="172"/>
      <c r="BT116" s="172"/>
      <c r="BU116" s="558"/>
      <c r="BV116" s="558"/>
      <c r="BW116" s="119"/>
      <c r="BX116" s="120"/>
      <c r="BY116" s="645"/>
      <c r="BZ116" s="645"/>
      <c r="CA116" s="558"/>
      <c r="CB116" s="558"/>
      <c r="CC116" s="558"/>
      <c r="CD116" s="558"/>
      <c r="CE116" s="558"/>
      <c r="CF116" s="558"/>
      <c r="CG116" s="558"/>
      <c r="CH116" s="558"/>
      <c r="CI116" s="558"/>
      <c r="CJ116" s="558"/>
      <c r="CK116" s="77"/>
      <c r="CL116" s="857"/>
      <c r="CM116" s="857"/>
      <c r="CN116" s="857"/>
      <c r="CO116" s="857"/>
      <c r="CP116" s="860"/>
      <c r="CQ116" s="860"/>
      <c r="CR116" s="77"/>
      <c r="CS116" s="857"/>
      <c r="CT116" s="857"/>
      <c r="CU116" s="857"/>
      <c r="CV116" s="857"/>
      <c r="CW116" s="860"/>
      <c r="CX116" s="860"/>
      <c r="CY116" s="119"/>
    </row>
    <row r="117" spans="1:103" ht="7.5" customHeight="1">
      <c r="A117" s="120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27"/>
      <c r="P117" s="227"/>
      <c r="Q117" s="77"/>
      <c r="R117" s="272"/>
      <c r="S117" s="272"/>
      <c r="T117" s="272"/>
      <c r="U117" s="272"/>
      <c r="V117" s="272"/>
      <c r="W117" s="272"/>
      <c r="X117" s="272"/>
      <c r="Y117" s="272"/>
      <c r="Z117" s="272"/>
      <c r="AA117" s="272"/>
      <c r="AB117" s="272"/>
      <c r="AC117" s="272"/>
      <c r="AD117" s="272"/>
      <c r="AE117" s="227"/>
      <c r="AF117" s="227"/>
      <c r="AG117" s="119"/>
      <c r="AH117" s="120"/>
      <c r="AI117" s="172" t="s">
        <v>314</v>
      </c>
      <c r="AJ117" s="172"/>
      <c r="AK117" s="586"/>
      <c r="AL117" s="587"/>
      <c r="AM117" s="587"/>
      <c r="AN117" s="588"/>
      <c r="AO117" s="327" t="s">
        <v>323</v>
      </c>
      <c r="AP117" s="328"/>
      <c r="AQ117" s="342"/>
      <c r="AR117" s="343"/>
      <c r="AS117" s="575"/>
      <c r="AT117" s="576"/>
      <c r="AU117" s="119"/>
      <c r="AV117" s="77"/>
      <c r="AW117" s="172" t="s">
        <v>314</v>
      </c>
      <c r="AX117" s="172"/>
      <c r="AY117" s="586"/>
      <c r="AZ117" s="587"/>
      <c r="BA117" s="587"/>
      <c r="BB117" s="588"/>
      <c r="BC117" s="327" t="s">
        <v>323</v>
      </c>
      <c r="BD117" s="328"/>
      <c r="BE117" s="342"/>
      <c r="BF117" s="343"/>
      <c r="BG117" s="575"/>
      <c r="BH117" s="576"/>
      <c r="BI117" s="77"/>
      <c r="BJ117" s="120"/>
      <c r="BK117" s="172" t="s">
        <v>314</v>
      </c>
      <c r="BL117" s="172"/>
      <c r="BM117" s="586"/>
      <c r="BN117" s="587"/>
      <c r="BO117" s="587"/>
      <c r="BP117" s="588"/>
      <c r="BQ117" s="327" t="s">
        <v>323</v>
      </c>
      <c r="BR117" s="328"/>
      <c r="BS117" s="342"/>
      <c r="BT117" s="343"/>
      <c r="BU117" s="575"/>
      <c r="BV117" s="576"/>
      <c r="BW117" s="119"/>
      <c r="BX117" s="120"/>
      <c r="BY117" s="645" t="s">
        <v>831</v>
      </c>
      <c r="BZ117" s="645"/>
      <c r="CA117" s="620"/>
      <c r="CB117" s="620"/>
      <c r="CC117" s="620"/>
      <c r="CD117" s="620"/>
      <c r="CE117" s="620"/>
      <c r="CF117" s="620"/>
      <c r="CG117" s="620"/>
      <c r="CH117" s="620"/>
      <c r="CI117" s="620"/>
      <c r="CJ117" s="620"/>
      <c r="CK117" s="77"/>
      <c r="CL117" s="857" t="s">
        <v>80</v>
      </c>
      <c r="CM117" s="857"/>
      <c r="CN117" s="857"/>
      <c r="CO117" s="857"/>
      <c r="CP117" s="861"/>
      <c r="CQ117" s="860"/>
      <c r="CR117" s="77"/>
      <c r="CS117" s="857" t="s">
        <v>90</v>
      </c>
      <c r="CT117" s="857"/>
      <c r="CU117" s="857"/>
      <c r="CV117" s="857"/>
      <c r="CW117" s="861"/>
      <c r="CX117" s="860"/>
      <c r="CY117" s="119"/>
    </row>
    <row r="118" spans="1:103" ht="7.5" customHeight="1">
      <c r="A118" s="120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27"/>
      <c r="P118" s="227"/>
      <c r="Q118" s="77"/>
      <c r="R118" s="272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27"/>
      <c r="AF118" s="227"/>
      <c r="AG118" s="119"/>
      <c r="AH118" s="120"/>
      <c r="AI118" s="172"/>
      <c r="AJ118" s="172"/>
      <c r="AK118" s="589"/>
      <c r="AL118" s="590"/>
      <c r="AM118" s="590"/>
      <c r="AN118" s="591"/>
      <c r="AO118" s="329"/>
      <c r="AP118" s="330"/>
      <c r="AQ118" s="344"/>
      <c r="AR118" s="345"/>
      <c r="AS118" s="577"/>
      <c r="AT118" s="578"/>
      <c r="AU118" s="119"/>
      <c r="AV118" s="77"/>
      <c r="AW118" s="172"/>
      <c r="AX118" s="172"/>
      <c r="AY118" s="589"/>
      <c r="AZ118" s="590"/>
      <c r="BA118" s="590"/>
      <c r="BB118" s="591"/>
      <c r="BC118" s="329"/>
      <c r="BD118" s="330"/>
      <c r="BE118" s="344"/>
      <c r="BF118" s="345"/>
      <c r="BG118" s="577"/>
      <c r="BH118" s="578"/>
      <c r="BI118" s="77"/>
      <c r="BJ118" s="120"/>
      <c r="BK118" s="172"/>
      <c r="BL118" s="172"/>
      <c r="BM118" s="589"/>
      <c r="BN118" s="590"/>
      <c r="BO118" s="590"/>
      <c r="BP118" s="591"/>
      <c r="BQ118" s="329"/>
      <c r="BR118" s="330"/>
      <c r="BS118" s="344"/>
      <c r="BT118" s="345"/>
      <c r="BU118" s="577"/>
      <c r="BV118" s="578"/>
      <c r="BW118" s="119"/>
      <c r="BX118" s="120"/>
      <c r="BY118" s="645"/>
      <c r="BZ118" s="645"/>
      <c r="CA118" s="620"/>
      <c r="CB118" s="620"/>
      <c r="CC118" s="620"/>
      <c r="CD118" s="620"/>
      <c r="CE118" s="620"/>
      <c r="CF118" s="620"/>
      <c r="CG118" s="620"/>
      <c r="CH118" s="620"/>
      <c r="CI118" s="620"/>
      <c r="CJ118" s="620"/>
      <c r="CK118" s="77"/>
      <c r="CL118" s="857"/>
      <c r="CM118" s="857"/>
      <c r="CN118" s="857"/>
      <c r="CO118" s="857"/>
      <c r="CP118" s="860"/>
      <c r="CQ118" s="860"/>
      <c r="CR118" s="77"/>
      <c r="CS118" s="857"/>
      <c r="CT118" s="857"/>
      <c r="CU118" s="857"/>
      <c r="CV118" s="857"/>
      <c r="CW118" s="860"/>
      <c r="CX118" s="860"/>
      <c r="CY118" s="119"/>
    </row>
    <row r="119" spans="1:103" ht="7.5" customHeight="1">
      <c r="A119" s="120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27"/>
      <c r="P119" s="227"/>
      <c r="Q119" s="77"/>
      <c r="R119" s="272"/>
      <c r="S119" s="272"/>
      <c r="T119" s="272"/>
      <c r="U119" s="272"/>
      <c r="V119" s="272"/>
      <c r="W119" s="272"/>
      <c r="X119" s="272"/>
      <c r="Y119" s="272"/>
      <c r="Z119" s="272"/>
      <c r="AA119" s="272"/>
      <c r="AB119" s="272"/>
      <c r="AC119" s="272"/>
      <c r="AD119" s="272"/>
      <c r="AE119" s="227"/>
      <c r="AF119" s="227"/>
      <c r="AG119" s="119"/>
      <c r="AH119" s="120"/>
      <c r="AI119" s="297" t="s">
        <v>223</v>
      </c>
      <c r="AJ119" s="297"/>
      <c r="AK119" s="297"/>
      <c r="AL119" s="172" t="s">
        <v>282</v>
      </c>
      <c r="AM119" s="558"/>
      <c r="AN119" s="558"/>
      <c r="AO119" s="172" t="s">
        <v>322</v>
      </c>
      <c r="AP119" s="558"/>
      <c r="AQ119" s="558"/>
      <c r="AR119" s="172" t="s">
        <v>284</v>
      </c>
      <c r="AS119" s="558"/>
      <c r="AT119" s="558"/>
      <c r="AU119" s="119"/>
      <c r="AV119" s="77"/>
      <c r="AW119" s="297" t="s">
        <v>223</v>
      </c>
      <c r="AX119" s="297"/>
      <c r="AY119" s="297"/>
      <c r="AZ119" s="172" t="s">
        <v>282</v>
      </c>
      <c r="BA119" s="558"/>
      <c r="BB119" s="558"/>
      <c r="BC119" s="172" t="s">
        <v>322</v>
      </c>
      <c r="BD119" s="558"/>
      <c r="BE119" s="558"/>
      <c r="BF119" s="172" t="s">
        <v>284</v>
      </c>
      <c r="BG119" s="558"/>
      <c r="BH119" s="558"/>
      <c r="BI119" s="77"/>
      <c r="BJ119" s="120"/>
      <c r="BK119" s="297" t="s">
        <v>223</v>
      </c>
      <c r="BL119" s="297"/>
      <c r="BM119" s="297"/>
      <c r="BN119" s="172" t="s">
        <v>282</v>
      </c>
      <c r="BO119" s="558"/>
      <c r="BP119" s="558"/>
      <c r="BQ119" s="172" t="s">
        <v>322</v>
      </c>
      <c r="BR119" s="558"/>
      <c r="BS119" s="558"/>
      <c r="BT119" s="172" t="s">
        <v>284</v>
      </c>
      <c r="BU119" s="558"/>
      <c r="BV119" s="558"/>
      <c r="BW119" s="119"/>
      <c r="BX119" s="120"/>
      <c r="BY119" s="510" t="s">
        <v>97</v>
      </c>
      <c r="BZ119" s="510"/>
      <c r="CA119" s="510"/>
      <c r="CB119" s="510"/>
      <c r="CC119" s="835"/>
      <c r="CD119" s="835"/>
      <c r="CE119" s="835"/>
      <c r="CF119" s="835"/>
      <c r="CG119" s="835"/>
      <c r="CH119" s="835"/>
      <c r="CI119" s="835"/>
      <c r="CJ119" s="835"/>
      <c r="CK119" s="77"/>
      <c r="CL119" s="857" t="s">
        <v>81</v>
      </c>
      <c r="CM119" s="857"/>
      <c r="CN119" s="857"/>
      <c r="CO119" s="857"/>
      <c r="CP119" s="861"/>
      <c r="CQ119" s="860"/>
      <c r="CR119" s="77"/>
      <c r="CS119" s="857" t="s">
        <v>91</v>
      </c>
      <c r="CT119" s="857"/>
      <c r="CU119" s="857"/>
      <c r="CV119" s="857"/>
      <c r="CW119" s="861"/>
      <c r="CX119" s="860"/>
      <c r="CY119" s="119"/>
    </row>
    <row r="120" spans="1:103" ht="7.5" customHeight="1">
      <c r="A120" s="120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27"/>
      <c r="P120" s="227"/>
      <c r="Q120" s="77"/>
      <c r="R120" s="272"/>
      <c r="S120" s="272"/>
      <c r="T120" s="272"/>
      <c r="U120" s="272"/>
      <c r="V120" s="272"/>
      <c r="W120" s="272"/>
      <c r="X120" s="272"/>
      <c r="Y120" s="272"/>
      <c r="Z120" s="272"/>
      <c r="AA120" s="272"/>
      <c r="AB120" s="272"/>
      <c r="AC120" s="272"/>
      <c r="AD120" s="272"/>
      <c r="AE120" s="227"/>
      <c r="AF120" s="227"/>
      <c r="AG120" s="119"/>
      <c r="AH120" s="120"/>
      <c r="AI120" s="297"/>
      <c r="AJ120" s="297"/>
      <c r="AK120" s="297"/>
      <c r="AL120" s="172"/>
      <c r="AM120" s="558"/>
      <c r="AN120" s="558"/>
      <c r="AO120" s="172"/>
      <c r="AP120" s="558"/>
      <c r="AQ120" s="558"/>
      <c r="AR120" s="172"/>
      <c r="AS120" s="558"/>
      <c r="AT120" s="558"/>
      <c r="AU120" s="119"/>
      <c r="AV120" s="77"/>
      <c r="AW120" s="297"/>
      <c r="AX120" s="297"/>
      <c r="AY120" s="297"/>
      <c r="AZ120" s="172"/>
      <c r="BA120" s="558"/>
      <c r="BB120" s="558"/>
      <c r="BC120" s="172"/>
      <c r="BD120" s="558"/>
      <c r="BE120" s="558"/>
      <c r="BF120" s="172"/>
      <c r="BG120" s="558"/>
      <c r="BH120" s="558"/>
      <c r="BI120" s="77"/>
      <c r="BJ120" s="120"/>
      <c r="BK120" s="297"/>
      <c r="BL120" s="297"/>
      <c r="BM120" s="297"/>
      <c r="BN120" s="172"/>
      <c r="BO120" s="558"/>
      <c r="BP120" s="558"/>
      <c r="BQ120" s="172"/>
      <c r="BR120" s="558"/>
      <c r="BS120" s="558"/>
      <c r="BT120" s="172"/>
      <c r="BU120" s="558"/>
      <c r="BV120" s="558"/>
      <c r="BW120" s="119"/>
      <c r="BX120" s="120"/>
      <c r="BY120" s="510"/>
      <c r="BZ120" s="510"/>
      <c r="CA120" s="510"/>
      <c r="CB120" s="510"/>
      <c r="CC120" s="835"/>
      <c r="CD120" s="835"/>
      <c r="CE120" s="835"/>
      <c r="CF120" s="835"/>
      <c r="CG120" s="835"/>
      <c r="CH120" s="835"/>
      <c r="CI120" s="835"/>
      <c r="CJ120" s="835"/>
      <c r="CK120" s="77"/>
      <c r="CL120" s="857"/>
      <c r="CM120" s="857"/>
      <c r="CN120" s="857"/>
      <c r="CO120" s="857"/>
      <c r="CP120" s="860"/>
      <c r="CQ120" s="860"/>
      <c r="CR120" s="77"/>
      <c r="CS120" s="857"/>
      <c r="CT120" s="857"/>
      <c r="CU120" s="857"/>
      <c r="CV120" s="857"/>
      <c r="CW120" s="860"/>
      <c r="CX120" s="860"/>
      <c r="CY120" s="119"/>
    </row>
    <row r="121" spans="1:103" ht="7.5" customHeight="1">
      <c r="A121" s="120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27"/>
      <c r="P121" s="227"/>
      <c r="Q121" s="77"/>
      <c r="R121" s="272"/>
      <c r="S121" s="272"/>
      <c r="T121" s="272"/>
      <c r="U121" s="272"/>
      <c r="V121" s="272"/>
      <c r="W121" s="272"/>
      <c r="X121" s="272"/>
      <c r="Y121" s="272"/>
      <c r="Z121" s="272"/>
      <c r="AA121" s="272"/>
      <c r="AB121" s="272"/>
      <c r="AC121" s="272"/>
      <c r="AD121" s="272"/>
      <c r="AE121" s="227"/>
      <c r="AF121" s="227"/>
      <c r="AG121" s="119"/>
      <c r="AH121" s="120"/>
      <c r="AI121" s="297"/>
      <c r="AJ121" s="297"/>
      <c r="AK121" s="297"/>
      <c r="AL121" s="172" t="s">
        <v>283</v>
      </c>
      <c r="AM121" s="558"/>
      <c r="AN121" s="558"/>
      <c r="AO121" s="172" t="s">
        <v>278</v>
      </c>
      <c r="AP121" s="563"/>
      <c r="AQ121" s="564"/>
      <c r="AR121" s="564"/>
      <c r="AS121" s="564"/>
      <c r="AT121" s="565"/>
      <c r="AU121" s="119"/>
      <c r="AV121" s="77"/>
      <c r="AW121" s="297"/>
      <c r="AX121" s="297"/>
      <c r="AY121" s="297"/>
      <c r="AZ121" s="172" t="s">
        <v>283</v>
      </c>
      <c r="BA121" s="558"/>
      <c r="BB121" s="558"/>
      <c r="BC121" s="172" t="s">
        <v>278</v>
      </c>
      <c r="BD121" s="563"/>
      <c r="BE121" s="564"/>
      <c r="BF121" s="564"/>
      <c r="BG121" s="564"/>
      <c r="BH121" s="565"/>
      <c r="BI121" s="77"/>
      <c r="BJ121" s="120"/>
      <c r="BK121" s="297"/>
      <c r="BL121" s="297"/>
      <c r="BM121" s="297"/>
      <c r="BN121" s="172" t="s">
        <v>283</v>
      </c>
      <c r="BO121" s="558"/>
      <c r="BP121" s="558"/>
      <c r="BQ121" s="172" t="s">
        <v>278</v>
      </c>
      <c r="BR121" s="563"/>
      <c r="BS121" s="564"/>
      <c r="BT121" s="564"/>
      <c r="BU121" s="564"/>
      <c r="BV121" s="565"/>
      <c r="BW121" s="119"/>
      <c r="BX121" s="120"/>
      <c r="BY121" s="835"/>
      <c r="BZ121" s="835"/>
      <c r="CA121" s="835"/>
      <c r="CB121" s="835"/>
      <c r="CC121" s="835"/>
      <c r="CD121" s="835"/>
      <c r="CE121" s="835"/>
      <c r="CF121" s="835"/>
      <c r="CG121" s="835"/>
      <c r="CH121" s="835"/>
      <c r="CI121" s="835"/>
      <c r="CJ121" s="835"/>
      <c r="CK121" s="77"/>
      <c r="CL121" s="857" t="s">
        <v>82</v>
      </c>
      <c r="CM121" s="857"/>
      <c r="CN121" s="857"/>
      <c r="CO121" s="857"/>
      <c r="CP121" s="861"/>
      <c r="CQ121" s="860"/>
      <c r="CR121" s="77"/>
      <c r="CS121" s="857"/>
      <c r="CT121" s="857"/>
      <c r="CU121" s="857"/>
      <c r="CV121" s="857"/>
      <c r="CW121" s="861"/>
      <c r="CX121" s="860"/>
      <c r="CY121" s="119"/>
    </row>
    <row r="122" spans="1:103" ht="7.5" customHeight="1">
      <c r="A122" s="120"/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27"/>
      <c r="P122" s="227"/>
      <c r="Q122" s="77"/>
      <c r="R122" s="272"/>
      <c r="S122" s="272"/>
      <c r="T122" s="272"/>
      <c r="U122" s="272"/>
      <c r="V122" s="272"/>
      <c r="W122" s="272"/>
      <c r="X122" s="272"/>
      <c r="Y122" s="272"/>
      <c r="Z122" s="272"/>
      <c r="AA122" s="272"/>
      <c r="AB122" s="272"/>
      <c r="AC122" s="272"/>
      <c r="AD122" s="272"/>
      <c r="AE122" s="227"/>
      <c r="AF122" s="227"/>
      <c r="AG122" s="119"/>
      <c r="AH122" s="120"/>
      <c r="AI122" s="297"/>
      <c r="AJ122" s="297"/>
      <c r="AK122" s="297"/>
      <c r="AL122" s="172"/>
      <c r="AM122" s="558"/>
      <c r="AN122" s="558"/>
      <c r="AO122" s="172"/>
      <c r="AP122" s="566"/>
      <c r="AQ122" s="567"/>
      <c r="AR122" s="567"/>
      <c r="AS122" s="567"/>
      <c r="AT122" s="568"/>
      <c r="AU122" s="119"/>
      <c r="AV122" s="77"/>
      <c r="AW122" s="297"/>
      <c r="AX122" s="297"/>
      <c r="AY122" s="297"/>
      <c r="AZ122" s="172"/>
      <c r="BA122" s="558"/>
      <c r="BB122" s="558"/>
      <c r="BC122" s="172"/>
      <c r="BD122" s="566"/>
      <c r="BE122" s="567"/>
      <c r="BF122" s="567"/>
      <c r="BG122" s="567"/>
      <c r="BH122" s="568"/>
      <c r="BI122" s="77"/>
      <c r="BJ122" s="120"/>
      <c r="BK122" s="297"/>
      <c r="BL122" s="297"/>
      <c r="BM122" s="297"/>
      <c r="BN122" s="172"/>
      <c r="BO122" s="558"/>
      <c r="BP122" s="558"/>
      <c r="BQ122" s="172"/>
      <c r="BR122" s="566"/>
      <c r="BS122" s="567"/>
      <c r="BT122" s="567"/>
      <c r="BU122" s="567"/>
      <c r="BV122" s="568"/>
      <c r="BW122" s="119"/>
      <c r="BX122" s="120"/>
      <c r="BY122" s="835"/>
      <c r="BZ122" s="835"/>
      <c r="CA122" s="835"/>
      <c r="CB122" s="835"/>
      <c r="CC122" s="835"/>
      <c r="CD122" s="835"/>
      <c r="CE122" s="835"/>
      <c r="CF122" s="835"/>
      <c r="CG122" s="835"/>
      <c r="CH122" s="835"/>
      <c r="CI122" s="835"/>
      <c r="CJ122" s="835"/>
      <c r="CK122" s="77"/>
      <c r="CL122" s="857"/>
      <c r="CM122" s="857"/>
      <c r="CN122" s="857"/>
      <c r="CO122" s="857"/>
      <c r="CP122" s="860"/>
      <c r="CQ122" s="860"/>
      <c r="CR122" s="77"/>
      <c r="CS122" s="857"/>
      <c r="CT122" s="857"/>
      <c r="CU122" s="857"/>
      <c r="CV122" s="857"/>
      <c r="CW122" s="860"/>
      <c r="CX122" s="860"/>
      <c r="CY122" s="119"/>
    </row>
    <row r="123" spans="1:103" ht="7.5" customHeight="1">
      <c r="A123" s="120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27"/>
      <c r="P123" s="227"/>
      <c r="Q123" s="77"/>
      <c r="R123" s="272"/>
      <c r="S123" s="272"/>
      <c r="T123" s="272"/>
      <c r="U123" s="272"/>
      <c r="V123" s="272"/>
      <c r="W123" s="272"/>
      <c r="X123" s="272"/>
      <c r="Y123" s="272"/>
      <c r="Z123" s="272"/>
      <c r="AA123" s="272"/>
      <c r="AB123" s="272"/>
      <c r="AC123" s="272"/>
      <c r="AD123" s="272"/>
      <c r="AE123" s="227"/>
      <c r="AF123" s="227"/>
      <c r="AG123" s="119"/>
      <c r="AH123" s="120"/>
      <c r="AI123" s="297" t="s">
        <v>320</v>
      </c>
      <c r="AJ123" s="297"/>
      <c r="AK123" s="297"/>
      <c r="AL123" s="172" t="s">
        <v>315</v>
      </c>
      <c r="AM123" s="558"/>
      <c r="AN123" s="558"/>
      <c r="AO123" s="172" t="s">
        <v>316</v>
      </c>
      <c r="AP123" s="558"/>
      <c r="AQ123" s="558"/>
      <c r="AR123" s="172" t="s">
        <v>317</v>
      </c>
      <c r="AS123" s="558"/>
      <c r="AT123" s="558"/>
      <c r="AU123" s="119"/>
      <c r="AV123" s="77"/>
      <c r="AW123" s="297" t="s">
        <v>320</v>
      </c>
      <c r="AX123" s="297"/>
      <c r="AY123" s="297"/>
      <c r="AZ123" s="172" t="s">
        <v>315</v>
      </c>
      <c r="BA123" s="558"/>
      <c r="BB123" s="558"/>
      <c r="BC123" s="172" t="s">
        <v>316</v>
      </c>
      <c r="BD123" s="558"/>
      <c r="BE123" s="558"/>
      <c r="BF123" s="172" t="s">
        <v>317</v>
      </c>
      <c r="BG123" s="558"/>
      <c r="BH123" s="558"/>
      <c r="BI123" s="77"/>
      <c r="BJ123" s="120"/>
      <c r="BK123" s="297" t="s">
        <v>320</v>
      </c>
      <c r="BL123" s="297"/>
      <c r="BM123" s="297"/>
      <c r="BN123" s="172" t="s">
        <v>315</v>
      </c>
      <c r="BO123" s="558"/>
      <c r="BP123" s="558"/>
      <c r="BQ123" s="172" t="s">
        <v>316</v>
      </c>
      <c r="BR123" s="558"/>
      <c r="BS123" s="558"/>
      <c r="BT123" s="172" t="s">
        <v>317</v>
      </c>
      <c r="BU123" s="558"/>
      <c r="BV123" s="558"/>
      <c r="BW123" s="119"/>
      <c r="BX123" s="120"/>
      <c r="BY123" s="835"/>
      <c r="BZ123" s="835"/>
      <c r="CA123" s="835"/>
      <c r="CB123" s="835"/>
      <c r="CC123" s="835"/>
      <c r="CD123" s="835"/>
      <c r="CE123" s="835"/>
      <c r="CF123" s="835"/>
      <c r="CG123" s="835"/>
      <c r="CH123" s="835"/>
      <c r="CI123" s="835"/>
      <c r="CJ123" s="835"/>
      <c r="CK123" s="77"/>
      <c r="CL123" s="510" t="s">
        <v>96</v>
      </c>
      <c r="CM123" s="510"/>
      <c r="CN123" s="510"/>
      <c r="CO123" s="510"/>
      <c r="CP123" s="835"/>
      <c r="CQ123" s="835"/>
      <c r="CR123" s="835"/>
      <c r="CS123" s="835"/>
      <c r="CT123" s="835"/>
      <c r="CU123" s="835"/>
      <c r="CV123" s="835"/>
      <c r="CW123" s="835"/>
      <c r="CX123" s="835"/>
      <c r="CY123" s="119"/>
    </row>
    <row r="124" spans="1:103" ht="7.5" customHeight="1">
      <c r="A124" s="120"/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27"/>
      <c r="P124" s="227"/>
      <c r="Q124" s="77"/>
      <c r="R124" s="272"/>
      <c r="S124" s="272"/>
      <c r="T124" s="272"/>
      <c r="U124" s="272"/>
      <c r="V124" s="272"/>
      <c r="W124" s="272"/>
      <c r="X124" s="272"/>
      <c r="Y124" s="272"/>
      <c r="Z124" s="272"/>
      <c r="AA124" s="272"/>
      <c r="AB124" s="272"/>
      <c r="AC124" s="272"/>
      <c r="AD124" s="272"/>
      <c r="AE124" s="227"/>
      <c r="AF124" s="227"/>
      <c r="AG124" s="119"/>
      <c r="AH124" s="120"/>
      <c r="AI124" s="297"/>
      <c r="AJ124" s="297"/>
      <c r="AK124" s="297"/>
      <c r="AL124" s="172"/>
      <c r="AM124" s="558"/>
      <c r="AN124" s="558"/>
      <c r="AO124" s="172"/>
      <c r="AP124" s="558"/>
      <c r="AQ124" s="558"/>
      <c r="AR124" s="172"/>
      <c r="AS124" s="558"/>
      <c r="AT124" s="558"/>
      <c r="AU124" s="119"/>
      <c r="AV124" s="77"/>
      <c r="AW124" s="297"/>
      <c r="AX124" s="297"/>
      <c r="AY124" s="297"/>
      <c r="AZ124" s="172"/>
      <c r="BA124" s="558"/>
      <c r="BB124" s="558"/>
      <c r="BC124" s="172"/>
      <c r="BD124" s="558"/>
      <c r="BE124" s="558"/>
      <c r="BF124" s="172"/>
      <c r="BG124" s="558"/>
      <c r="BH124" s="558"/>
      <c r="BI124" s="77"/>
      <c r="BJ124" s="120"/>
      <c r="BK124" s="297"/>
      <c r="BL124" s="297"/>
      <c r="BM124" s="297"/>
      <c r="BN124" s="172"/>
      <c r="BO124" s="558"/>
      <c r="BP124" s="558"/>
      <c r="BQ124" s="172"/>
      <c r="BR124" s="558"/>
      <c r="BS124" s="558"/>
      <c r="BT124" s="172"/>
      <c r="BU124" s="558"/>
      <c r="BV124" s="558"/>
      <c r="BW124" s="119"/>
      <c r="BX124" s="120"/>
      <c r="BY124" s="835"/>
      <c r="BZ124" s="835"/>
      <c r="CA124" s="835"/>
      <c r="CB124" s="835"/>
      <c r="CC124" s="835"/>
      <c r="CD124" s="835"/>
      <c r="CE124" s="835"/>
      <c r="CF124" s="835"/>
      <c r="CG124" s="835"/>
      <c r="CH124" s="835"/>
      <c r="CI124" s="835"/>
      <c r="CJ124" s="835"/>
      <c r="CK124" s="77"/>
      <c r="CL124" s="510"/>
      <c r="CM124" s="510"/>
      <c r="CN124" s="510"/>
      <c r="CO124" s="510"/>
      <c r="CP124" s="835"/>
      <c r="CQ124" s="835"/>
      <c r="CR124" s="835"/>
      <c r="CS124" s="835"/>
      <c r="CT124" s="835"/>
      <c r="CU124" s="835"/>
      <c r="CV124" s="835"/>
      <c r="CW124" s="835"/>
      <c r="CX124" s="835"/>
      <c r="CY124" s="119"/>
    </row>
    <row r="125" spans="1:103" ht="7.5" customHeight="1">
      <c r="A125" s="120"/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27"/>
      <c r="P125" s="227"/>
      <c r="Q125" s="77"/>
      <c r="R125" s="272"/>
      <c r="S125" s="272"/>
      <c r="T125" s="272"/>
      <c r="U125" s="272"/>
      <c r="V125" s="272"/>
      <c r="W125" s="272"/>
      <c r="X125" s="272"/>
      <c r="Y125" s="272"/>
      <c r="Z125" s="272"/>
      <c r="AA125" s="272"/>
      <c r="AB125" s="272"/>
      <c r="AC125" s="272"/>
      <c r="AD125" s="272"/>
      <c r="AE125" s="227"/>
      <c r="AF125" s="227"/>
      <c r="AG125" s="119"/>
      <c r="AH125" s="120"/>
      <c r="AI125" s="297"/>
      <c r="AJ125" s="297"/>
      <c r="AK125" s="297"/>
      <c r="AL125" s="172" t="s">
        <v>318</v>
      </c>
      <c r="AM125" s="558"/>
      <c r="AN125" s="558"/>
      <c r="AO125" s="172" t="s">
        <v>319</v>
      </c>
      <c r="AP125" s="172"/>
      <c r="AQ125" s="559"/>
      <c r="AR125" s="560"/>
      <c r="AS125" s="204" t="s">
        <v>875</v>
      </c>
      <c r="AT125" s="560"/>
      <c r="AU125" s="119"/>
      <c r="AV125" s="77"/>
      <c r="AW125" s="297"/>
      <c r="AX125" s="297"/>
      <c r="AY125" s="297"/>
      <c r="AZ125" s="172" t="s">
        <v>318</v>
      </c>
      <c r="BA125" s="558"/>
      <c r="BB125" s="558"/>
      <c r="BC125" s="172" t="s">
        <v>319</v>
      </c>
      <c r="BD125" s="172"/>
      <c r="BE125" s="559"/>
      <c r="BF125" s="560"/>
      <c r="BG125" s="204" t="s">
        <v>875</v>
      </c>
      <c r="BH125" s="560"/>
      <c r="BI125" s="77"/>
      <c r="BJ125" s="120"/>
      <c r="BK125" s="297"/>
      <c r="BL125" s="297"/>
      <c r="BM125" s="297"/>
      <c r="BN125" s="172" t="s">
        <v>318</v>
      </c>
      <c r="BO125" s="558"/>
      <c r="BP125" s="558"/>
      <c r="BQ125" s="172" t="s">
        <v>319</v>
      </c>
      <c r="BR125" s="172"/>
      <c r="BS125" s="559"/>
      <c r="BT125" s="560"/>
      <c r="BU125" s="204" t="s">
        <v>875</v>
      </c>
      <c r="BV125" s="560"/>
      <c r="BW125" s="119"/>
      <c r="BX125" s="120"/>
      <c r="BY125" s="510" t="s">
        <v>1161</v>
      </c>
      <c r="BZ125" s="510"/>
      <c r="CA125" s="510"/>
      <c r="CB125" s="510"/>
      <c r="CC125" s="510"/>
      <c r="CD125" s="510"/>
      <c r="CE125" s="836"/>
      <c r="CF125" s="836"/>
      <c r="CG125" s="836"/>
      <c r="CH125" s="836"/>
      <c r="CI125" s="836"/>
      <c r="CJ125" s="836"/>
      <c r="CK125" s="77"/>
      <c r="CL125" s="510" t="s">
        <v>102</v>
      </c>
      <c r="CM125" s="510"/>
      <c r="CN125" s="510"/>
      <c r="CO125" s="510"/>
      <c r="CP125" s="835"/>
      <c r="CQ125" s="835"/>
      <c r="CR125" s="835"/>
      <c r="CS125" s="835"/>
      <c r="CT125" s="835"/>
      <c r="CU125" s="835"/>
      <c r="CV125" s="835"/>
      <c r="CW125" s="835"/>
      <c r="CX125" s="835"/>
      <c r="CY125" s="119"/>
    </row>
    <row r="126" spans="1:103" ht="7.5" customHeight="1">
      <c r="A126" s="120"/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27"/>
      <c r="P126" s="227"/>
      <c r="Q126" s="77"/>
      <c r="R126" s="272"/>
      <c r="S126" s="272"/>
      <c r="T126" s="272"/>
      <c r="U126" s="272"/>
      <c r="V126" s="272"/>
      <c r="W126" s="272"/>
      <c r="X126" s="272"/>
      <c r="Y126" s="272"/>
      <c r="Z126" s="272"/>
      <c r="AA126" s="272"/>
      <c r="AB126" s="272"/>
      <c r="AC126" s="272"/>
      <c r="AD126" s="272"/>
      <c r="AE126" s="227"/>
      <c r="AF126" s="227"/>
      <c r="AG126" s="119"/>
      <c r="AH126" s="120"/>
      <c r="AI126" s="297"/>
      <c r="AJ126" s="297"/>
      <c r="AK126" s="297"/>
      <c r="AL126" s="172"/>
      <c r="AM126" s="558"/>
      <c r="AN126" s="558"/>
      <c r="AO126" s="172"/>
      <c r="AP126" s="172"/>
      <c r="AQ126" s="561"/>
      <c r="AR126" s="562"/>
      <c r="AS126" s="205"/>
      <c r="AT126" s="562"/>
      <c r="AU126" s="119"/>
      <c r="AV126" s="77"/>
      <c r="AW126" s="297"/>
      <c r="AX126" s="297"/>
      <c r="AY126" s="297"/>
      <c r="AZ126" s="172"/>
      <c r="BA126" s="558"/>
      <c r="BB126" s="558"/>
      <c r="BC126" s="172"/>
      <c r="BD126" s="172"/>
      <c r="BE126" s="561"/>
      <c r="BF126" s="562"/>
      <c r="BG126" s="205"/>
      <c r="BH126" s="562"/>
      <c r="BI126" s="77"/>
      <c r="BJ126" s="120"/>
      <c r="BK126" s="297"/>
      <c r="BL126" s="297"/>
      <c r="BM126" s="297"/>
      <c r="BN126" s="172"/>
      <c r="BO126" s="558"/>
      <c r="BP126" s="558"/>
      <c r="BQ126" s="172"/>
      <c r="BR126" s="172"/>
      <c r="BS126" s="561"/>
      <c r="BT126" s="562"/>
      <c r="BU126" s="205"/>
      <c r="BV126" s="562"/>
      <c r="BW126" s="119"/>
      <c r="BX126" s="120"/>
      <c r="BY126" s="510"/>
      <c r="BZ126" s="510"/>
      <c r="CA126" s="510"/>
      <c r="CB126" s="510"/>
      <c r="CC126" s="510"/>
      <c r="CD126" s="510"/>
      <c r="CE126" s="836"/>
      <c r="CF126" s="836"/>
      <c r="CG126" s="836"/>
      <c r="CH126" s="836"/>
      <c r="CI126" s="836"/>
      <c r="CJ126" s="836"/>
      <c r="CK126" s="77"/>
      <c r="CL126" s="510"/>
      <c r="CM126" s="510"/>
      <c r="CN126" s="510"/>
      <c r="CO126" s="510"/>
      <c r="CP126" s="835"/>
      <c r="CQ126" s="835"/>
      <c r="CR126" s="835"/>
      <c r="CS126" s="835"/>
      <c r="CT126" s="835"/>
      <c r="CU126" s="835"/>
      <c r="CV126" s="835"/>
      <c r="CW126" s="835"/>
      <c r="CX126" s="835"/>
      <c r="CY126" s="119"/>
    </row>
    <row r="127" spans="1:103" ht="7.5" customHeight="1">
      <c r="A127" s="120"/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27"/>
      <c r="P127" s="227"/>
      <c r="Q127" s="77"/>
      <c r="R127" s="272"/>
      <c r="S127" s="272"/>
      <c r="T127" s="272"/>
      <c r="U127" s="272"/>
      <c r="V127" s="272"/>
      <c r="W127" s="272"/>
      <c r="X127" s="272"/>
      <c r="Y127" s="272"/>
      <c r="Z127" s="272"/>
      <c r="AA127" s="272"/>
      <c r="AB127" s="272"/>
      <c r="AC127" s="272"/>
      <c r="AD127" s="272"/>
      <c r="AE127" s="227"/>
      <c r="AF127" s="227"/>
      <c r="AG127" s="119"/>
      <c r="AH127" s="120"/>
      <c r="AI127" s="327" t="s">
        <v>327</v>
      </c>
      <c r="AJ127" s="328"/>
      <c r="AK127" s="328"/>
      <c r="AL127" s="328"/>
      <c r="AM127" s="328"/>
      <c r="AN127" s="328"/>
      <c r="AO127" s="328"/>
      <c r="AP127" s="328"/>
      <c r="AQ127" s="328"/>
      <c r="AR127" s="328"/>
      <c r="AS127" s="328"/>
      <c r="AT127" s="346"/>
      <c r="AU127" s="119"/>
      <c r="AV127" s="77"/>
      <c r="AW127" s="327" t="s">
        <v>327</v>
      </c>
      <c r="AX127" s="328"/>
      <c r="AY127" s="328"/>
      <c r="AZ127" s="328"/>
      <c r="BA127" s="328"/>
      <c r="BB127" s="328"/>
      <c r="BC127" s="328"/>
      <c r="BD127" s="328"/>
      <c r="BE127" s="328"/>
      <c r="BF127" s="328"/>
      <c r="BG127" s="328"/>
      <c r="BH127" s="346"/>
      <c r="BI127" s="77"/>
      <c r="BJ127" s="120"/>
      <c r="BK127" s="327" t="s">
        <v>327</v>
      </c>
      <c r="BL127" s="328"/>
      <c r="BM127" s="328"/>
      <c r="BN127" s="328"/>
      <c r="BO127" s="328"/>
      <c r="BP127" s="328"/>
      <c r="BQ127" s="328"/>
      <c r="BR127" s="328"/>
      <c r="BS127" s="328"/>
      <c r="BT127" s="328"/>
      <c r="BU127" s="328"/>
      <c r="BV127" s="346"/>
      <c r="BW127" s="119"/>
      <c r="BX127" s="120"/>
      <c r="BY127" s="838"/>
      <c r="BZ127" s="839"/>
      <c r="CA127" s="839"/>
      <c r="CB127" s="839"/>
      <c r="CC127" s="839"/>
      <c r="CD127" s="840"/>
      <c r="CE127" s="838"/>
      <c r="CF127" s="839"/>
      <c r="CG127" s="839"/>
      <c r="CH127" s="839"/>
      <c r="CI127" s="839"/>
      <c r="CJ127" s="840"/>
      <c r="CK127" s="77"/>
      <c r="CL127" s="835"/>
      <c r="CM127" s="835"/>
      <c r="CN127" s="835"/>
      <c r="CO127" s="835"/>
      <c r="CP127" s="835"/>
      <c r="CQ127" s="835"/>
      <c r="CR127" s="835"/>
      <c r="CS127" s="835"/>
      <c r="CT127" s="835"/>
      <c r="CU127" s="835"/>
      <c r="CV127" s="835"/>
      <c r="CW127" s="835"/>
      <c r="CX127" s="835"/>
      <c r="CY127" s="119"/>
    </row>
    <row r="128" spans="1:103" ht="7.5" customHeight="1">
      <c r="A128" s="120"/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27"/>
      <c r="P128" s="227"/>
      <c r="Q128" s="77"/>
      <c r="R128" s="272"/>
      <c r="S128" s="272"/>
      <c r="T128" s="272"/>
      <c r="U128" s="272"/>
      <c r="V128" s="272"/>
      <c r="W128" s="272"/>
      <c r="X128" s="272"/>
      <c r="Y128" s="272"/>
      <c r="Z128" s="272"/>
      <c r="AA128" s="272"/>
      <c r="AB128" s="272"/>
      <c r="AC128" s="272"/>
      <c r="AD128" s="272"/>
      <c r="AE128" s="227"/>
      <c r="AF128" s="227"/>
      <c r="AG128" s="119"/>
      <c r="AH128" s="120"/>
      <c r="AI128" s="329"/>
      <c r="AJ128" s="330"/>
      <c r="AK128" s="330"/>
      <c r="AL128" s="330"/>
      <c r="AM128" s="330"/>
      <c r="AN128" s="330"/>
      <c r="AO128" s="330"/>
      <c r="AP128" s="330"/>
      <c r="AQ128" s="330"/>
      <c r="AR128" s="330"/>
      <c r="AS128" s="330"/>
      <c r="AT128" s="347"/>
      <c r="AU128" s="119"/>
      <c r="AV128" s="77"/>
      <c r="AW128" s="329"/>
      <c r="AX128" s="330"/>
      <c r="AY128" s="330"/>
      <c r="AZ128" s="330"/>
      <c r="BA128" s="330"/>
      <c r="BB128" s="330"/>
      <c r="BC128" s="330"/>
      <c r="BD128" s="330"/>
      <c r="BE128" s="330"/>
      <c r="BF128" s="330"/>
      <c r="BG128" s="330"/>
      <c r="BH128" s="347"/>
      <c r="BI128" s="77"/>
      <c r="BJ128" s="120"/>
      <c r="BK128" s="329"/>
      <c r="BL128" s="330"/>
      <c r="BM128" s="330"/>
      <c r="BN128" s="330"/>
      <c r="BO128" s="330"/>
      <c r="BP128" s="330"/>
      <c r="BQ128" s="330"/>
      <c r="BR128" s="330"/>
      <c r="BS128" s="330"/>
      <c r="BT128" s="330"/>
      <c r="BU128" s="330"/>
      <c r="BV128" s="347"/>
      <c r="BW128" s="119"/>
      <c r="BX128" s="120"/>
      <c r="BY128" s="841"/>
      <c r="BZ128" s="842"/>
      <c r="CA128" s="842"/>
      <c r="CB128" s="842"/>
      <c r="CC128" s="842"/>
      <c r="CD128" s="843"/>
      <c r="CE128" s="841"/>
      <c r="CF128" s="842"/>
      <c r="CG128" s="842"/>
      <c r="CH128" s="842"/>
      <c r="CI128" s="842"/>
      <c r="CJ128" s="843"/>
      <c r="CK128" s="77"/>
      <c r="CL128" s="835"/>
      <c r="CM128" s="835"/>
      <c r="CN128" s="835"/>
      <c r="CO128" s="835"/>
      <c r="CP128" s="835"/>
      <c r="CQ128" s="835"/>
      <c r="CR128" s="835"/>
      <c r="CS128" s="835"/>
      <c r="CT128" s="835"/>
      <c r="CU128" s="835"/>
      <c r="CV128" s="835"/>
      <c r="CW128" s="835"/>
      <c r="CX128" s="835"/>
      <c r="CY128" s="119"/>
    </row>
    <row r="129" spans="1:103" ht="7.5" customHeight="1">
      <c r="A129" s="120"/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27"/>
      <c r="P129" s="227"/>
      <c r="Q129" s="77"/>
      <c r="R129" s="272"/>
      <c r="S129" s="272"/>
      <c r="T129" s="272"/>
      <c r="U129" s="272"/>
      <c r="V129" s="272"/>
      <c r="W129" s="272"/>
      <c r="X129" s="272"/>
      <c r="Y129" s="272"/>
      <c r="Z129" s="272"/>
      <c r="AA129" s="272"/>
      <c r="AB129" s="272"/>
      <c r="AC129" s="272"/>
      <c r="AD129" s="272"/>
      <c r="AE129" s="227"/>
      <c r="AF129" s="227"/>
      <c r="AG129" s="119"/>
      <c r="AH129" s="120"/>
      <c r="AI129" s="552"/>
      <c r="AJ129" s="553"/>
      <c r="AK129" s="553"/>
      <c r="AL129" s="553"/>
      <c r="AM129" s="553"/>
      <c r="AN129" s="553"/>
      <c r="AO129" s="553"/>
      <c r="AP129" s="553"/>
      <c r="AQ129" s="553"/>
      <c r="AR129" s="553"/>
      <c r="AS129" s="553"/>
      <c r="AT129" s="554"/>
      <c r="AU129" s="119"/>
      <c r="AV129" s="77"/>
      <c r="AW129" s="552"/>
      <c r="AX129" s="553"/>
      <c r="AY129" s="553"/>
      <c r="AZ129" s="553"/>
      <c r="BA129" s="553"/>
      <c r="BB129" s="553"/>
      <c r="BC129" s="553"/>
      <c r="BD129" s="553"/>
      <c r="BE129" s="553"/>
      <c r="BF129" s="553"/>
      <c r="BG129" s="553"/>
      <c r="BH129" s="554"/>
      <c r="BI129" s="77"/>
      <c r="BJ129" s="120"/>
      <c r="BK129" s="552"/>
      <c r="BL129" s="553"/>
      <c r="BM129" s="553"/>
      <c r="BN129" s="553"/>
      <c r="BO129" s="553"/>
      <c r="BP129" s="553"/>
      <c r="BQ129" s="553"/>
      <c r="BR129" s="553"/>
      <c r="BS129" s="553"/>
      <c r="BT129" s="553"/>
      <c r="BU129" s="553"/>
      <c r="BV129" s="554"/>
      <c r="BW129" s="119"/>
      <c r="BX129" s="120"/>
      <c r="BY129" s="844" t="s">
        <v>101</v>
      </c>
      <c r="BZ129" s="845"/>
      <c r="CA129" s="846"/>
      <c r="CB129" s="850"/>
      <c r="CC129" s="851"/>
      <c r="CD129" s="851"/>
      <c r="CE129" s="851"/>
      <c r="CF129" s="851"/>
      <c r="CG129" s="851"/>
      <c r="CH129" s="851"/>
      <c r="CI129" s="851"/>
      <c r="CJ129" s="852"/>
      <c r="CK129" s="77"/>
      <c r="CL129" s="835"/>
      <c r="CM129" s="835"/>
      <c r="CN129" s="835"/>
      <c r="CO129" s="835"/>
      <c r="CP129" s="835"/>
      <c r="CQ129" s="835"/>
      <c r="CR129" s="835"/>
      <c r="CS129" s="835"/>
      <c r="CT129" s="835"/>
      <c r="CU129" s="835"/>
      <c r="CV129" s="835"/>
      <c r="CW129" s="835"/>
      <c r="CX129" s="835"/>
      <c r="CY129" s="119"/>
    </row>
    <row r="130" spans="1:103" ht="7.5" customHeight="1">
      <c r="A130" s="120"/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27"/>
      <c r="P130" s="227"/>
      <c r="Q130" s="77"/>
      <c r="R130" s="272"/>
      <c r="S130" s="272"/>
      <c r="T130" s="272"/>
      <c r="U130" s="272"/>
      <c r="V130" s="272"/>
      <c r="W130" s="272"/>
      <c r="X130" s="272"/>
      <c r="Y130" s="272"/>
      <c r="Z130" s="272"/>
      <c r="AA130" s="272"/>
      <c r="AB130" s="272"/>
      <c r="AC130" s="272"/>
      <c r="AD130" s="272"/>
      <c r="AE130" s="227"/>
      <c r="AF130" s="227"/>
      <c r="AG130" s="119"/>
      <c r="AH130" s="120"/>
      <c r="AI130" s="555"/>
      <c r="AJ130" s="556"/>
      <c r="AK130" s="556"/>
      <c r="AL130" s="556"/>
      <c r="AM130" s="556"/>
      <c r="AN130" s="556"/>
      <c r="AO130" s="556"/>
      <c r="AP130" s="556"/>
      <c r="AQ130" s="556"/>
      <c r="AR130" s="556"/>
      <c r="AS130" s="556"/>
      <c r="AT130" s="557"/>
      <c r="AU130" s="119"/>
      <c r="AV130" s="77"/>
      <c r="AW130" s="555"/>
      <c r="AX130" s="556"/>
      <c r="AY130" s="556"/>
      <c r="AZ130" s="556"/>
      <c r="BA130" s="556"/>
      <c r="BB130" s="556"/>
      <c r="BC130" s="556"/>
      <c r="BD130" s="556"/>
      <c r="BE130" s="556"/>
      <c r="BF130" s="556"/>
      <c r="BG130" s="556"/>
      <c r="BH130" s="557"/>
      <c r="BI130" s="77"/>
      <c r="BJ130" s="120"/>
      <c r="BK130" s="555"/>
      <c r="BL130" s="556"/>
      <c r="BM130" s="556"/>
      <c r="BN130" s="556"/>
      <c r="BO130" s="556"/>
      <c r="BP130" s="556"/>
      <c r="BQ130" s="556"/>
      <c r="BR130" s="556"/>
      <c r="BS130" s="556"/>
      <c r="BT130" s="556"/>
      <c r="BU130" s="556"/>
      <c r="BV130" s="557"/>
      <c r="BW130" s="119"/>
      <c r="BX130" s="120"/>
      <c r="BY130" s="847"/>
      <c r="BZ130" s="848"/>
      <c r="CA130" s="849"/>
      <c r="CB130" s="853"/>
      <c r="CC130" s="854"/>
      <c r="CD130" s="854"/>
      <c r="CE130" s="854"/>
      <c r="CF130" s="854"/>
      <c r="CG130" s="854"/>
      <c r="CH130" s="854"/>
      <c r="CI130" s="854"/>
      <c r="CJ130" s="855"/>
      <c r="CK130" s="77"/>
      <c r="CL130" s="835"/>
      <c r="CM130" s="835"/>
      <c r="CN130" s="835"/>
      <c r="CO130" s="835"/>
      <c r="CP130" s="835"/>
      <c r="CQ130" s="835"/>
      <c r="CR130" s="835"/>
      <c r="CS130" s="835"/>
      <c r="CT130" s="835"/>
      <c r="CU130" s="835"/>
      <c r="CV130" s="835"/>
      <c r="CW130" s="835"/>
      <c r="CX130" s="835"/>
      <c r="CY130" s="119"/>
    </row>
    <row r="131" spans="1:103" ht="7.5" customHeight="1">
      <c r="A131" s="120"/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27"/>
      <c r="P131" s="227"/>
      <c r="Q131" s="77"/>
      <c r="R131" s="272"/>
      <c r="S131" s="272"/>
      <c r="T131" s="272"/>
      <c r="U131" s="272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27"/>
      <c r="AF131" s="227"/>
      <c r="AG131" s="119"/>
      <c r="AH131" s="120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119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120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119"/>
      <c r="BX131" s="120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119"/>
    </row>
    <row r="132" spans="1:103" ht="7.5" customHeight="1">
      <c r="A132" s="142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44"/>
      <c r="AH132" s="142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44"/>
      <c r="AV132" s="125"/>
      <c r="AW132" s="125"/>
      <c r="AX132" s="125"/>
      <c r="AY132" s="125"/>
      <c r="AZ132" s="125"/>
      <c r="BA132" s="125"/>
      <c r="BB132" s="125"/>
      <c r="BC132" s="125"/>
      <c r="BD132" s="125"/>
      <c r="BE132" s="125"/>
      <c r="BF132" s="125"/>
      <c r="BG132" s="125"/>
      <c r="BH132" s="125"/>
      <c r="BI132" s="125"/>
      <c r="BJ132" s="142"/>
      <c r="BK132" s="125"/>
      <c r="BL132" s="125"/>
      <c r="BM132" s="125"/>
      <c r="BN132" s="125"/>
      <c r="BO132" s="125"/>
      <c r="BP132" s="125"/>
      <c r="BQ132" s="125"/>
      <c r="BR132" s="125"/>
      <c r="BS132" s="125"/>
      <c r="BT132" s="125"/>
      <c r="BU132" s="125"/>
      <c r="BV132" s="125"/>
      <c r="BW132" s="144"/>
      <c r="BX132" s="142"/>
      <c r="BY132" s="125"/>
      <c r="BZ132" s="125"/>
      <c r="CA132" s="125"/>
      <c r="CB132" s="125"/>
      <c r="CC132" s="125"/>
      <c r="CD132" s="125"/>
      <c r="CE132" s="125"/>
      <c r="CF132" s="125"/>
      <c r="CG132" s="125"/>
      <c r="CH132" s="125"/>
      <c r="CI132" s="125"/>
      <c r="CJ132" s="125"/>
      <c r="CK132" s="125"/>
      <c r="CL132" s="125"/>
      <c r="CM132" s="125"/>
      <c r="CN132" s="125"/>
      <c r="CO132" s="125"/>
      <c r="CP132" s="125"/>
      <c r="CQ132" s="125"/>
      <c r="CR132" s="125"/>
      <c r="CS132" s="125"/>
      <c r="CT132" s="125"/>
      <c r="CU132" s="125"/>
      <c r="CV132" s="125"/>
      <c r="CW132" s="125"/>
      <c r="CX132" s="125"/>
      <c r="CY132" s="144"/>
    </row>
    <row r="133" spans="33:75" ht="7.5" customHeight="1"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</row>
  </sheetData>
  <sheetProtection password="CF7A" sheet="1" objects="1" scenarios="1"/>
  <mergeCells count="1282">
    <mergeCell ref="Y128:AD129"/>
    <mergeCell ref="AE128:AF129"/>
    <mergeCell ref="B130:H131"/>
    <mergeCell ref="I130:N131"/>
    <mergeCell ref="O130:P131"/>
    <mergeCell ref="R130:X131"/>
    <mergeCell ref="Y130:AD131"/>
    <mergeCell ref="AE130:AF131"/>
    <mergeCell ref="B128:H129"/>
    <mergeCell ref="I128:N129"/>
    <mergeCell ref="O128:P129"/>
    <mergeCell ref="R128:X129"/>
    <mergeCell ref="Y124:AD125"/>
    <mergeCell ref="AE124:AF125"/>
    <mergeCell ref="B126:H127"/>
    <mergeCell ref="I126:N127"/>
    <mergeCell ref="O126:P127"/>
    <mergeCell ref="R126:X127"/>
    <mergeCell ref="Y126:AD127"/>
    <mergeCell ref="AE126:AF127"/>
    <mergeCell ref="B124:H125"/>
    <mergeCell ref="I124:N125"/>
    <mergeCell ref="O124:P125"/>
    <mergeCell ref="R124:X125"/>
    <mergeCell ref="Y120:AD121"/>
    <mergeCell ref="AE120:AF121"/>
    <mergeCell ref="B122:H123"/>
    <mergeCell ref="I122:N123"/>
    <mergeCell ref="O122:P123"/>
    <mergeCell ref="R122:X123"/>
    <mergeCell ref="Y122:AD123"/>
    <mergeCell ref="AE122:AF123"/>
    <mergeCell ref="B120:H121"/>
    <mergeCell ref="I120:N121"/>
    <mergeCell ref="O120:P121"/>
    <mergeCell ref="R120:X121"/>
    <mergeCell ref="Y116:AD117"/>
    <mergeCell ref="AE116:AF117"/>
    <mergeCell ref="B118:H119"/>
    <mergeCell ref="I118:N119"/>
    <mergeCell ref="O118:P119"/>
    <mergeCell ref="R118:X119"/>
    <mergeCell ref="Y118:AD119"/>
    <mergeCell ref="AE118:AF119"/>
    <mergeCell ref="B116:H117"/>
    <mergeCell ref="I116:N117"/>
    <mergeCell ref="O116:P117"/>
    <mergeCell ref="R116:X117"/>
    <mergeCell ref="Y112:AD113"/>
    <mergeCell ref="AE112:AF113"/>
    <mergeCell ref="B114:H115"/>
    <mergeCell ref="I114:N115"/>
    <mergeCell ref="O114:P115"/>
    <mergeCell ref="R114:X115"/>
    <mergeCell ref="Y114:AD115"/>
    <mergeCell ref="AE114:AF115"/>
    <mergeCell ref="B112:H113"/>
    <mergeCell ref="I112:N113"/>
    <mergeCell ref="O112:P113"/>
    <mergeCell ref="R112:X113"/>
    <mergeCell ref="Y108:AD109"/>
    <mergeCell ref="AE108:AF109"/>
    <mergeCell ref="B110:H111"/>
    <mergeCell ref="I110:N111"/>
    <mergeCell ref="O110:P111"/>
    <mergeCell ref="R110:X111"/>
    <mergeCell ref="Y110:AD111"/>
    <mergeCell ref="AE110:AF111"/>
    <mergeCell ref="B108:H109"/>
    <mergeCell ref="I108:N109"/>
    <mergeCell ref="O108:P109"/>
    <mergeCell ref="R108:X109"/>
    <mergeCell ref="Y104:AD105"/>
    <mergeCell ref="AE104:AF105"/>
    <mergeCell ref="B106:H107"/>
    <mergeCell ref="I106:N107"/>
    <mergeCell ref="O106:P107"/>
    <mergeCell ref="R106:X107"/>
    <mergeCell ref="Y106:AD107"/>
    <mergeCell ref="AE106:AF107"/>
    <mergeCell ref="B104:H105"/>
    <mergeCell ref="I104:N105"/>
    <mergeCell ref="O104:P105"/>
    <mergeCell ref="R104:X105"/>
    <mergeCell ref="Y100:AD101"/>
    <mergeCell ref="AE100:AF101"/>
    <mergeCell ref="B102:H103"/>
    <mergeCell ref="I102:N103"/>
    <mergeCell ref="O102:P103"/>
    <mergeCell ref="R102:X103"/>
    <mergeCell ref="Y102:AD103"/>
    <mergeCell ref="AE102:AF103"/>
    <mergeCell ref="B100:H101"/>
    <mergeCell ref="I100:N101"/>
    <mergeCell ref="O100:P101"/>
    <mergeCell ref="R100:X101"/>
    <mergeCell ref="R96:X97"/>
    <mergeCell ref="Y96:AD97"/>
    <mergeCell ref="AE96:AF97"/>
    <mergeCell ref="B98:H99"/>
    <mergeCell ref="I98:N99"/>
    <mergeCell ref="O98:P99"/>
    <mergeCell ref="R98:X99"/>
    <mergeCell ref="Y98:AD99"/>
    <mergeCell ref="AE98:AF99"/>
    <mergeCell ref="Y92:AD93"/>
    <mergeCell ref="B94:H95"/>
    <mergeCell ref="I94:N95"/>
    <mergeCell ref="O94:P95"/>
    <mergeCell ref="R94:X95"/>
    <mergeCell ref="Y94:AD95"/>
    <mergeCell ref="AE88:AF89"/>
    <mergeCell ref="B90:H91"/>
    <mergeCell ref="I90:N91"/>
    <mergeCell ref="O90:P91"/>
    <mergeCell ref="R90:X91"/>
    <mergeCell ref="Y90:AD91"/>
    <mergeCell ref="AE90:AF91"/>
    <mergeCell ref="O86:P87"/>
    <mergeCell ref="R86:X87"/>
    <mergeCell ref="Y86:AD87"/>
    <mergeCell ref="B88:H89"/>
    <mergeCell ref="I88:N89"/>
    <mergeCell ref="O88:P89"/>
    <mergeCell ref="R88:X89"/>
    <mergeCell ref="Y88:AD89"/>
    <mergeCell ref="AE82:AF83"/>
    <mergeCell ref="B84:H85"/>
    <mergeCell ref="I84:N85"/>
    <mergeCell ref="O84:P85"/>
    <mergeCell ref="R84:X85"/>
    <mergeCell ref="Y84:AD85"/>
    <mergeCell ref="AE84:AF85"/>
    <mergeCell ref="O80:P81"/>
    <mergeCell ref="R80:X81"/>
    <mergeCell ref="Y80:AD81"/>
    <mergeCell ref="B82:H83"/>
    <mergeCell ref="I82:N83"/>
    <mergeCell ref="O82:P83"/>
    <mergeCell ref="R82:X83"/>
    <mergeCell ref="Y82:AD83"/>
    <mergeCell ref="AE76:AF77"/>
    <mergeCell ref="B78:H79"/>
    <mergeCell ref="I78:N79"/>
    <mergeCell ref="O78:P79"/>
    <mergeCell ref="R78:X79"/>
    <mergeCell ref="Y78:AD79"/>
    <mergeCell ref="AE78:AF79"/>
    <mergeCell ref="Y74:AD75"/>
    <mergeCell ref="B76:H77"/>
    <mergeCell ref="I76:N77"/>
    <mergeCell ref="O76:P77"/>
    <mergeCell ref="R76:X77"/>
    <mergeCell ref="Y76:AD77"/>
    <mergeCell ref="B74:H75"/>
    <mergeCell ref="I74:N75"/>
    <mergeCell ref="O74:P75"/>
    <mergeCell ref="R74:X75"/>
    <mergeCell ref="I72:N73"/>
    <mergeCell ref="O72:P73"/>
    <mergeCell ref="R72:X73"/>
    <mergeCell ref="Y72:AD73"/>
    <mergeCell ref="B68:H69"/>
    <mergeCell ref="I68:N69"/>
    <mergeCell ref="O68:P69"/>
    <mergeCell ref="B70:H71"/>
    <mergeCell ref="I70:N71"/>
    <mergeCell ref="O70:P71"/>
    <mergeCell ref="CL127:CX128"/>
    <mergeCell ref="CL129:CX130"/>
    <mergeCell ref="CL123:CO124"/>
    <mergeCell ref="CP123:CX124"/>
    <mergeCell ref="CL125:CO126"/>
    <mergeCell ref="CP125:CX126"/>
    <mergeCell ref="CL121:CO122"/>
    <mergeCell ref="CP121:CQ122"/>
    <mergeCell ref="CS121:CV122"/>
    <mergeCell ref="CW121:CX122"/>
    <mergeCell ref="CL119:CO120"/>
    <mergeCell ref="CP119:CQ120"/>
    <mergeCell ref="CS119:CV120"/>
    <mergeCell ref="CW119:CX120"/>
    <mergeCell ref="CL117:CO118"/>
    <mergeCell ref="CP117:CQ118"/>
    <mergeCell ref="CS117:CV118"/>
    <mergeCell ref="CW117:CX118"/>
    <mergeCell ref="CL115:CO116"/>
    <mergeCell ref="CP115:CQ116"/>
    <mergeCell ref="CS115:CV116"/>
    <mergeCell ref="CW115:CX116"/>
    <mergeCell ref="CL113:CO114"/>
    <mergeCell ref="CP113:CQ114"/>
    <mergeCell ref="CS113:CV114"/>
    <mergeCell ref="CW113:CX114"/>
    <mergeCell ref="CL111:CO112"/>
    <mergeCell ref="CP111:CQ112"/>
    <mergeCell ref="CS111:CV112"/>
    <mergeCell ref="CW111:CX112"/>
    <mergeCell ref="CL109:CO110"/>
    <mergeCell ref="CP109:CQ110"/>
    <mergeCell ref="CS109:CV110"/>
    <mergeCell ref="CW109:CX110"/>
    <mergeCell ref="CL107:CO108"/>
    <mergeCell ref="CP107:CQ108"/>
    <mergeCell ref="CS107:CV108"/>
    <mergeCell ref="CW107:CX108"/>
    <mergeCell ref="CL105:CO106"/>
    <mergeCell ref="CP105:CQ106"/>
    <mergeCell ref="CS105:CV106"/>
    <mergeCell ref="CW105:CX106"/>
    <mergeCell ref="CL95:CX96"/>
    <mergeCell ref="CL97:CX98"/>
    <mergeCell ref="CL101:CX102"/>
    <mergeCell ref="CL103:CO104"/>
    <mergeCell ref="CP103:CQ104"/>
    <mergeCell ref="CS103:CV104"/>
    <mergeCell ref="CW103:CX104"/>
    <mergeCell ref="CL91:CO92"/>
    <mergeCell ref="CP91:CX92"/>
    <mergeCell ref="CL93:CO94"/>
    <mergeCell ref="CP93:CX94"/>
    <mergeCell ref="CL89:CO90"/>
    <mergeCell ref="CP89:CQ90"/>
    <mergeCell ref="CS89:CV90"/>
    <mergeCell ref="CW89:CX90"/>
    <mergeCell ref="CL87:CO88"/>
    <mergeCell ref="CP87:CQ88"/>
    <mergeCell ref="CS87:CV88"/>
    <mergeCell ref="CW87:CX88"/>
    <mergeCell ref="CL85:CO86"/>
    <mergeCell ref="CP85:CQ86"/>
    <mergeCell ref="CS85:CV86"/>
    <mergeCell ref="CW85:CX86"/>
    <mergeCell ref="CL83:CO84"/>
    <mergeCell ref="CP83:CQ84"/>
    <mergeCell ref="CS83:CV84"/>
    <mergeCell ref="CW83:CX84"/>
    <mergeCell ref="CL81:CO82"/>
    <mergeCell ref="CP81:CQ82"/>
    <mergeCell ref="CS81:CV82"/>
    <mergeCell ref="CW81:CX82"/>
    <mergeCell ref="CL79:CO80"/>
    <mergeCell ref="CP79:CQ80"/>
    <mergeCell ref="CS79:CV80"/>
    <mergeCell ref="CW79:CX80"/>
    <mergeCell ref="CL77:CO78"/>
    <mergeCell ref="CP77:CQ78"/>
    <mergeCell ref="CS77:CV78"/>
    <mergeCell ref="CW77:CX78"/>
    <mergeCell ref="CL75:CO76"/>
    <mergeCell ref="CP75:CQ76"/>
    <mergeCell ref="CS75:CV76"/>
    <mergeCell ref="CW75:CX76"/>
    <mergeCell ref="CL5:CX6"/>
    <mergeCell ref="CL37:CX38"/>
    <mergeCell ref="CL69:CX70"/>
    <mergeCell ref="CL71:CO72"/>
    <mergeCell ref="CP71:CQ72"/>
    <mergeCell ref="CS71:CV72"/>
    <mergeCell ref="CW71:CX72"/>
    <mergeCell ref="CL27:CO28"/>
    <mergeCell ref="CP27:CX28"/>
    <mergeCell ref="CL29:CO30"/>
    <mergeCell ref="CP29:CX30"/>
    <mergeCell ref="CL25:CO26"/>
    <mergeCell ref="CP25:CQ26"/>
    <mergeCell ref="CS25:CV26"/>
    <mergeCell ref="CW25:CX26"/>
    <mergeCell ref="CL23:CO24"/>
    <mergeCell ref="CP23:CQ24"/>
    <mergeCell ref="CS23:CV24"/>
    <mergeCell ref="CW23:CX24"/>
    <mergeCell ref="CL21:CO22"/>
    <mergeCell ref="CP21:CQ22"/>
    <mergeCell ref="CS21:CV22"/>
    <mergeCell ref="CW21:CX22"/>
    <mergeCell ref="CL19:CO20"/>
    <mergeCell ref="CP19:CQ20"/>
    <mergeCell ref="CS19:CV20"/>
    <mergeCell ref="CW19:CX20"/>
    <mergeCell ref="CL17:CO18"/>
    <mergeCell ref="CP17:CQ18"/>
    <mergeCell ref="CS17:CV18"/>
    <mergeCell ref="CW17:CX18"/>
    <mergeCell ref="CL15:CO16"/>
    <mergeCell ref="CP15:CQ16"/>
    <mergeCell ref="CS15:CV16"/>
    <mergeCell ref="CW15:CX16"/>
    <mergeCell ref="CL13:CO14"/>
    <mergeCell ref="CP13:CQ14"/>
    <mergeCell ref="CS13:CV14"/>
    <mergeCell ref="CW13:CX14"/>
    <mergeCell ref="CL11:CO12"/>
    <mergeCell ref="CP11:CQ12"/>
    <mergeCell ref="CS11:CV12"/>
    <mergeCell ref="CW11:CX12"/>
    <mergeCell ref="CL33:CX34"/>
    <mergeCell ref="BY2:CX3"/>
    <mergeCell ref="CL7:CO8"/>
    <mergeCell ref="CP7:CQ8"/>
    <mergeCell ref="CS7:CV8"/>
    <mergeCell ref="CW7:CX8"/>
    <mergeCell ref="CL9:CO10"/>
    <mergeCell ref="CP9:CQ10"/>
    <mergeCell ref="CS9:CV10"/>
    <mergeCell ref="CW9:CX10"/>
    <mergeCell ref="CL65:CX66"/>
    <mergeCell ref="CL63:CX64"/>
    <mergeCell ref="CL31:CX32"/>
    <mergeCell ref="CL73:CO74"/>
    <mergeCell ref="CP73:CQ74"/>
    <mergeCell ref="CS73:CV74"/>
    <mergeCell ref="CW73:CX74"/>
    <mergeCell ref="CL59:CO60"/>
    <mergeCell ref="CP59:CX60"/>
    <mergeCell ref="CL61:CO62"/>
    <mergeCell ref="CP61:CX62"/>
    <mergeCell ref="CS55:CV56"/>
    <mergeCell ref="CW55:CX56"/>
    <mergeCell ref="CS57:CV58"/>
    <mergeCell ref="CW57:CX58"/>
    <mergeCell ref="CP55:CQ56"/>
    <mergeCell ref="CP57:CQ58"/>
    <mergeCell ref="CS51:CV52"/>
    <mergeCell ref="CW51:CX52"/>
    <mergeCell ref="CS53:CV54"/>
    <mergeCell ref="CW53:CX54"/>
    <mergeCell ref="CS47:CV48"/>
    <mergeCell ref="CW47:CX48"/>
    <mergeCell ref="CS49:CV50"/>
    <mergeCell ref="CW49:CX50"/>
    <mergeCell ref="CS39:CV40"/>
    <mergeCell ref="CW39:CX40"/>
    <mergeCell ref="CS41:CV42"/>
    <mergeCell ref="CW41:CX42"/>
    <mergeCell ref="CS43:CV44"/>
    <mergeCell ref="CW43:CX44"/>
    <mergeCell ref="CS45:CV46"/>
    <mergeCell ref="CW45:CX46"/>
    <mergeCell ref="CL55:CO56"/>
    <mergeCell ref="CL57:CO58"/>
    <mergeCell ref="CP39:CQ40"/>
    <mergeCell ref="CP41:CQ42"/>
    <mergeCell ref="CP43:CQ44"/>
    <mergeCell ref="CP45:CQ46"/>
    <mergeCell ref="CP47:CQ48"/>
    <mergeCell ref="CP49:CQ50"/>
    <mergeCell ref="CP51:CQ52"/>
    <mergeCell ref="CP53:CQ54"/>
    <mergeCell ref="CL47:CO48"/>
    <mergeCell ref="CL49:CO50"/>
    <mergeCell ref="CL51:CO52"/>
    <mergeCell ref="CL53:CO54"/>
    <mergeCell ref="CL39:CO40"/>
    <mergeCell ref="CL41:CO42"/>
    <mergeCell ref="CL43:CO44"/>
    <mergeCell ref="CL45:CO46"/>
    <mergeCell ref="BY127:CD128"/>
    <mergeCell ref="CE127:CJ128"/>
    <mergeCell ref="BY129:CA130"/>
    <mergeCell ref="CB129:CJ130"/>
    <mergeCell ref="BY121:CJ122"/>
    <mergeCell ref="BY123:CJ124"/>
    <mergeCell ref="BY125:CD126"/>
    <mergeCell ref="CE125:CJ126"/>
    <mergeCell ref="CG117:CH118"/>
    <mergeCell ref="CI117:CJ118"/>
    <mergeCell ref="BY119:CB120"/>
    <mergeCell ref="CC119:CJ120"/>
    <mergeCell ref="BY117:BZ118"/>
    <mergeCell ref="CA117:CB118"/>
    <mergeCell ref="CC117:CD118"/>
    <mergeCell ref="CE117:CF118"/>
    <mergeCell ref="CG115:CH116"/>
    <mergeCell ref="CI115:CJ116"/>
    <mergeCell ref="CA113:CB114"/>
    <mergeCell ref="CC113:CD114"/>
    <mergeCell ref="CE113:CF114"/>
    <mergeCell ref="CG113:CH114"/>
    <mergeCell ref="CI113:CJ114"/>
    <mergeCell ref="BY115:BZ116"/>
    <mergeCell ref="CA115:CB116"/>
    <mergeCell ref="CC115:CD116"/>
    <mergeCell ref="CE115:CF116"/>
    <mergeCell ref="BY111:CA112"/>
    <mergeCell ref="CB111:CD112"/>
    <mergeCell ref="CE111:CF112"/>
    <mergeCell ref="CG111:CJ112"/>
    <mergeCell ref="BY109:CA110"/>
    <mergeCell ref="CB109:CD110"/>
    <mergeCell ref="CE109:CF110"/>
    <mergeCell ref="CG109:CJ110"/>
    <mergeCell ref="BY107:CA108"/>
    <mergeCell ref="CB107:CD108"/>
    <mergeCell ref="CE107:CF108"/>
    <mergeCell ref="CG107:CJ108"/>
    <mergeCell ref="BY101:CJ102"/>
    <mergeCell ref="BY103:CJ104"/>
    <mergeCell ref="BY105:BZ106"/>
    <mergeCell ref="CA105:CB106"/>
    <mergeCell ref="CC105:CD106"/>
    <mergeCell ref="CE105:CF106"/>
    <mergeCell ref="CG105:CH106"/>
    <mergeCell ref="CI105:CJ106"/>
    <mergeCell ref="BY95:CD96"/>
    <mergeCell ref="CE95:CJ96"/>
    <mergeCell ref="BY97:CA98"/>
    <mergeCell ref="CB97:CJ98"/>
    <mergeCell ref="BY89:CJ90"/>
    <mergeCell ref="BY91:CJ92"/>
    <mergeCell ref="BY93:CD94"/>
    <mergeCell ref="CE93:CJ94"/>
    <mergeCell ref="CG85:CH86"/>
    <mergeCell ref="CI85:CJ86"/>
    <mergeCell ref="BY87:CB88"/>
    <mergeCell ref="CC87:CJ88"/>
    <mergeCell ref="BY85:BZ86"/>
    <mergeCell ref="CA85:CB86"/>
    <mergeCell ref="CC85:CD86"/>
    <mergeCell ref="CE85:CF86"/>
    <mergeCell ref="CG83:CH84"/>
    <mergeCell ref="CI83:CJ84"/>
    <mergeCell ref="CA81:CB82"/>
    <mergeCell ref="CC81:CD82"/>
    <mergeCell ref="CE81:CF82"/>
    <mergeCell ref="CG81:CH82"/>
    <mergeCell ref="CI81:CJ82"/>
    <mergeCell ref="BY83:BZ84"/>
    <mergeCell ref="CA83:CB84"/>
    <mergeCell ref="CC83:CD84"/>
    <mergeCell ref="CE83:CF84"/>
    <mergeCell ref="BY79:CA80"/>
    <mergeCell ref="CB79:CD80"/>
    <mergeCell ref="CE79:CF80"/>
    <mergeCell ref="CG79:CJ80"/>
    <mergeCell ref="BY77:CA78"/>
    <mergeCell ref="CB77:CD78"/>
    <mergeCell ref="CE77:CF78"/>
    <mergeCell ref="CG77:CJ78"/>
    <mergeCell ref="BY75:CA76"/>
    <mergeCell ref="CB75:CD76"/>
    <mergeCell ref="CE75:CF76"/>
    <mergeCell ref="CG75:CJ76"/>
    <mergeCell ref="BY69:CJ70"/>
    <mergeCell ref="BY71:CJ72"/>
    <mergeCell ref="BY73:BZ74"/>
    <mergeCell ref="CA73:CB74"/>
    <mergeCell ref="CC73:CD74"/>
    <mergeCell ref="CE73:CF74"/>
    <mergeCell ref="CG73:CH74"/>
    <mergeCell ref="CI73:CJ74"/>
    <mergeCell ref="BY63:CD64"/>
    <mergeCell ref="CE63:CJ64"/>
    <mergeCell ref="BY65:CA66"/>
    <mergeCell ref="CB65:CJ66"/>
    <mergeCell ref="BY57:CJ58"/>
    <mergeCell ref="BY59:CJ60"/>
    <mergeCell ref="BY61:CD62"/>
    <mergeCell ref="CE61:CJ62"/>
    <mergeCell ref="CG53:CH54"/>
    <mergeCell ref="CI53:CJ54"/>
    <mergeCell ref="BY55:CB56"/>
    <mergeCell ref="CC55:CJ56"/>
    <mergeCell ref="BY53:BZ54"/>
    <mergeCell ref="CA53:CB54"/>
    <mergeCell ref="CC53:CD54"/>
    <mergeCell ref="CE53:CF54"/>
    <mergeCell ref="CG51:CH52"/>
    <mergeCell ref="CI51:CJ52"/>
    <mergeCell ref="CA49:CB50"/>
    <mergeCell ref="CC49:CD50"/>
    <mergeCell ref="CE49:CF50"/>
    <mergeCell ref="CG49:CH50"/>
    <mergeCell ref="CI49:CJ50"/>
    <mergeCell ref="BY51:BZ52"/>
    <mergeCell ref="CA51:CB52"/>
    <mergeCell ref="CC51:CD52"/>
    <mergeCell ref="CE51:CF52"/>
    <mergeCell ref="BY47:CA48"/>
    <mergeCell ref="CB47:CD48"/>
    <mergeCell ref="CE47:CF48"/>
    <mergeCell ref="CG47:CJ48"/>
    <mergeCell ref="BY45:CA46"/>
    <mergeCell ref="CB45:CD46"/>
    <mergeCell ref="CE45:CF46"/>
    <mergeCell ref="CG45:CJ46"/>
    <mergeCell ref="BY31:CD32"/>
    <mergeCell ref="CE31:CJ32"/>
    <mergeCell ref="BY33:CA34"/>
    <mergeCell ref="CB33:CJ34"/>
    <mergeCell ref="CI21:CJ22"/>
    <mergeCell ref="BY19:BZ20"/>
    <mergeCell ref="BY21:BZ22"/>
    <mergeCell ref="BY23:CB24"/>
    <mergeCell ref="CC23:CJ24"/>
    <mergeCell ref="CA21:CB22"/>
    <mergeCell ref="CC21:CD22"/>
    <mergeCell ref="CE21:CF22"/>
    <mergeCell ref="CG21:CH22"/>
    <mergeCell ref="CC19:CD20"/>
    <mergeCell ref="CE41:CF42"/>
    <mergeCell ref="CE19:CF20"/>
    <mergeCell ref="CG19:CH20"/>
    <mergeCell ref="CI19:CJ20"/>
    <mergeCell ref="BY39:CJ40"/>
    <mergeCell ref="BY25:CJ26"/>
    <mergeCell ref="BY27:CJ28"/>
    <mergeCell ref="BY29:CD30"/>
    <mergeCell ref="CE29:CJ30"/>
    <mergeCell ref="CA19:CB20"/>
    <mergeCell ref="CG41:CH42"/>
    <mergeCell ref="BY37:CJ38"/>
    <mergeCell ref="CI41:CJ42"/>
    <mergeCell ref="BY43:CA44"/>
    <mergeCell ref="CB43:CD44"/>
    <mergeCell ref="CE43:CF44"/>
    <mergeCell ref="CG43:CJ44"/>
    <mergeCell ref="BY41:BZ42"/>
    <mergeCell ref="CA41:CB42"/>
    <mergeCell ref="CC41:CD42"/>
    <mergeCell ref="CG13:CJ14"/>
    <mergeCell ref="CB13:CD14"/>
    <mergeCell ref="BY15:CA16"/>
    <mergeCell ref="CC9:CD10"/>
    <mergeCell ref="CE9:CF10"/>
    <mergeCell ref="BY11:CA12"/>
    <mergeCell ref="CE11:CF12"/>
    <mergeCell ref="CE15:CF16"/>
    <mergeCell ref="CB15:CD16"/>
    <mergeCell ref="BY9:BZ10"/>
    <mergeCell ref="CG15:CJ16"/>
    <mergeCell ref="CB11:CD12"/>
    <mergeCell ref="BY13:CA14"/>
    <mergeCell ref="CA17:CB18"/>
    <mergeCell ref="CC17:CD18"/>
    <mergeCell ref="CE17:CF18"/>
    <mergeCell ref="CG17:CH18"/>
    <mergeCell ref="CI17:CJ18"/>
    <mergeCell ref="CG11:CJ12"/>
    <mergeCell ref="CE13:CF14"/>
    <mergeCell ref="CG9:CH10"/>
    <mergeCell ref="CI9:CJ10"/>
    <mergeCell ref="BY5:CJ6"/>
    <mergeCell ref="BY7:CJ8"/>
    <mergeCell ref="CA9:CB10"/>
    <mergeCell ref="BP104:BR105"/>
    <mergeCell ref="BS104:BT105"/>
    <mergeCell ref="BF102:BG103"/>
    <mergeCell ref="BH102:BI103"/>
    <mergeCell ref="BF104:BG105"/>
    <mergeCell ref="BH104:BI105"/>
    <mergeCell ref="BJ104:BL105"/>
    <mergeCell ref="BN104:BO105"/>
    <mergeCell ref="BJ102:BL103"/>
    <mergeCell ref="BN102:BO103"/>
    <mergeCell ref="BP102:BR103"/>
    <mergeCell ref="BS102:BT103"/>
    <mergeCell ref="BJ98:BL99"/>
    <mergeCell ref="BN98:BO99"/>
    <mergeCell ref="BP98:BR99"/>
    <mergeCell ref="BS98:BT99"/>
    <mergeCell ref="BP100:BR101"/>
    <mergeCell ref="BS100:BT101"/>
    <mergeCell ref="BF100:BG101"/>
    <mergeCell ref="BH100:BI101"/>
    <mergeCell ref="BJ100:BL101"/>
    <mergeCell ref="BN100:BO101"/>
    <mergeCell ref="BN96:BO97"/>
    <mergeCell ref="BP96:BR97"/>
    <mergeCell ref="BS96:BT97"/>
    <mergeCell ref="BU96:BV97"/>
    <mergeCell ref="AX102:AY103"/>
    <mergeCell ref="AX104:AY105"/>
    <mergeCell ref="AZ94:BA95"/>
    <mergeCell ref="AZ96:BA97"/>
    <mergeCell ref="AS102:AT103"/>
    <mergeCell ref="AS104:AT105"/>
    <mergeCell ref="AU104:AW105"/>
    <mergeCell ref="AU102:AW103"/>
    <mergeCell ref="AO104:AQ105"/>
    <mergeCell ref="AO102:AQ103"/>
    <mergeCell ref="AO98:AQ99"/>
    <mergeCell ref="AO100:AQ101"/>
    <mergeCell ref="AM104:AN105"/>
    <mergeCell ref="AI94:AJ95"/>
    <mergeCell ref="AI96:AJ97"/>
    <mergeCell ref="AK96:AL97"/>
    <mergeCell ref="AK98:AL99"/>
    <mergeCell ref="AK100:AL101"/>
    <mergeCell ref="AK102:AL103"/>
    <mergeCell ref="AK104:AL105"/>
    <mergeCell ref="AM100:AN101"/>
    <mergeCell ref="AM102:AN103"/>
    <mergeCell ref="BN94:BR95"/>
    <mergeCell ref="BU94:BV95"/>
    <mergeCell ref="BD90:BG91"/>
    <mergeCell ref="BS90:BV91"/>
    <mergeCell ref="BD92:BL93"/>
    <mergeCell ref="BN92:BV93"/>
    <mergeCell ref="AM98:AN99"/>
    <mergeCell ref="AO96:AQ97"/>
    <mergeCell ref="BD94:BE95"/>
    <mergeCell ref="BH94:BL95"/>
    <mergeCell ref="BD96:BE97"/>
    <mergeCell ref="BF96:BG97"/>
    <mergeCell ref="BH96:BI97"/>
    <mergeCell ref="BJ96:BL97"/>
    <mergeCell ref="BF98:BG99"/>
    <mergeCell ref="BH98:BI99"/>
    <mergeCell ref="AI92:AQ93"/>
    <mergeCell ref="AS92:BA93"/>
    <mergeCell ref="AS94:AW95"/>
    <mergeCell ref="AS96:AT97"/>
    <mergeCell ref="AM94:AQ95"/>
    <mergeCell ref="AM96:AN97"/>
    <mergeCell ref="AS98:AT99"/>
    <mergeCell ref="AS100:AT101"/>
    <mergeCell ref="AI90:AL91"/>
    <mergeCell ref="AX90:BA91"/>
    <mergeCell ref="AX96:AY97"/>
    <mergeCell ref="AX98:AY99"/>
    <mergeCell ref="AX100:AY101"/>
    <mergeCell ref="AU100:AW101"/>
    <mergeCell ref="AU98:AW99"/>
    <mergeCell ref="AU96:AW97"/>
    <mergeCell ref="BD84:BV85"/>
    <mergeCell ref="BI61:BR63"/>
    <mergeCell ref="BD61:BH63"/>
    <mergeCell ref="AN61:AW63"/>
    <mergeCell ref="BD82:BL83"/>
    <mergeCell ref="BM82:BN83"/>
    <mergeCell ref="BO82:BT83"/>
    <mergeCell ref="BU82:BV83"/>
    <mergeCell ref="BS77:BT79"/>
    <mergeCell ref="BU77:BV79"/>
    <mergeCell ref="BD80:BE81"/>
    <mergeCell ref="BF80:BJ81"/>
    <mergeCell ref="BK80:BM81"/>
    <mergeCell ref="BN80:BV81"/>
    <mergeCell ref="BD77:BF79"/>
    <mergeCell ref="BG77:BN79"/>
    <mergeCell ref="BO77:BP79"/>
    <mergeCell ref="BQ77:BR79"/>
    <mergeCell ref="BD75:BL76"/>
    <mergeCell ref="BM75:BN76"/>
    <mergeCell ref="BO75:BT76"/>
    <mergeCell ref="BU75:BV76"/>
    <mergeCell ref="BS70:BT72"/>
    <mergeCell ref="BU70:BV72"/>
    <mergeCell ref="BD73:BE74"/>
    <mergeCell ref="BF73:BJ74"/>
    <mergeCell ref="BK73:BM74"/>
    <mergeCell ref="BN73:BV74"/>
    <mergeCell ref="BD70:BF72"/>
    <mergeCell ref="BG70:BN72"/>
    <mergeCell ref="BO70:BP72"/>
    <mergeCell ref="BQ70:BR72"/>
    <mergeCell ref="BU66:BV67"/>
    <mergeCell ref="BD68:BJ69"/>
    <mergeCell ref="BK68:BN69"/>
    <mergeCell ref="BO68:BP69"/>
    <mergeCell ref="BQ68:BT69"/>
    <mergeCell ref="BU68:BV69"/>
    <mergeCell ref="BJ66:BK67"/>
    <mergeCell ref="BL66:BL67"/>
    <mergeCell ref="BM66:BN67"/>
    <mergeCell ref="BO66:BT67"/>
    <mergeCell ref="BD66:BE67"/>
    <mergeCell ref="BF66:BF67"/>
    <mergeCell ref="BG66:BH67"/>
    <mergeCell ref="BI66:BI67"/>
    <mergeCell ref="BS61:BT63"/>
    <mergeCell ref="BU61:BV63"/>
    <mergeCell ref="BD64:BD65"/>
    <mergeCell ref="BE64:BG65"/>
    <mergeCell ref="BH64:BI65"/>
    <mergeCell ref="BJ64:BP65"/>
    <mergeCell ref="BQ64:BR65"/>
    <mergeCell ref="BS64:BV65"/>
    <mergeCell ref="BT53:BT54"/>
    <mergeCell ref="BU53:BV54"/>
    <mergeCell ref="BD55:BL56"/>
    <mergeCell ref="BN55:BV56"/>
    <mergeCell ref="BN53:BN54"/>
    <mergeCell ref="BO53:BP54"/>
    <mergeCell ref="BQ53:BQ54"/>
    <mergeCell ref="BR53:BS54"/>
    <mergeCell ref="BG53:BG54"/>
    <mergeCell ref="BH53:BI54"/>
    <mergeCell ref="BJ53:BJ54"/>
    <mergeCell ref="BK53:BL54"/>
    <mergeCell ref="BN51:BO52"/>
    <mergeCell ref="BP51:BQ52"/>
    <mergeCell ref="BR51:BS52"/>
    <mergeCell ref="BT51:BV52"/>
    <mergeCell ref="BT47:BV48"/>
    <mergeCell ref="BD49:BG50"/>
    <mergeCell ref="BH49:BL50"/>
    <mergeCell ref="BN49:BQ50"/>
    <mergeCell ref="BR49:BV50"/>
    <mergeCell ref="BI47:BJ48"/>
    <mergeCell ref="BK47:BM48"/>
    <mergeCell ref="BN47:BO48"/>
    <mergeCell ref="BP47:BR48"/>
    <mergeCell ref="BR39:BS40"/>
    <mergeCell ref="BN43:BO44"/>
    <mergeCell ref="BP43:BQ44"/>
    <mergeCell ref="BR43:BS44"/>
    <mergeCell ref="BP41:BQ42"/>
    <mergeCell ref="BR41:BS42"/>
    <mergeCell ref="AI84:BA85"/>
    <mergeCell ref="AV68:AY69"/>
    <mergeCell ref="AZ68:BA69"/>
    <mergeCell ref="AT75:AY76"/>
    <mergeCell ref="AI75:AQ76"/>
    <mergeCell ref="AP68:AS69"/>
    <mergeCell ref="AI68:AO69"/>
    <mergeCell ref="AR82:AS83"/>
    <mergeCell ref="AI82:AQ83"/>
    <mergeCell ref="AT82:AY83"/>
    <mergeCell ref="BT41:BV42"/>
    <mergeCell ref="AZ82:BA83"/>
    <mergeCell ref="BT43:BV44"/>
    <mergeCell ref="BN45:BO46"/>
    <mergeCell ref="BP45:BQ46"/>
    <mergeCell ref="BR45:BS46"/>
    <mergeCell ref="BT45:BV46"/>
    <mergeCell ref="BS47:BS48"/>
    <mergeCell ref="BD41:BE42"/>
    <mergeCell ref="BF41:BH42"/>
    <mergeCell ref="BK41:BM42"/>
    <mergeCell ref="BN41:BO42"/>
    <mergeCell ref="AX77:AY79"/>
    <mergeCell ref="AZ77:BA79"/>
    <mergeCell ref="AY45:BA46"/>
    <mergeCell ref="AZ66:BA67"/>
    <mergeCell ref="BK43:BM44"/>
    <mergeCell ref="BD45:BE46"/>
    <mergeCell ref="BF45:BH46"/>
    <mergeCell ref="BI45:BJ46"/>
    <mergeCell ref="AI80:AJ81"/>
    <mergeCell ref="AK80:AO81"/>
    <mergeCell ref="AP80:AR81"/>
    <mergeCell ref="AS80:BA81"/>
    <mergeCell ref="AI77:AK79"/>
    <mergeCell ref="AL77:AS79"/>
    <mergeCell ref="AT77:AU79"/>
    <mergeCell ref="AV77:AW79"/>
    <mergeCell ref="AD10:AD11"/>
    <mergeCell ref="AE10:AF11"/>
    <mergeCell ref="B27:F28"/>
    <mergeCell ref="AE19:AF20"/>
    <mergeCell ref="V12:AF13"/>
    <mergeCell ref="V21:AF22"/>
    <mergeCell ref="P21:Q22"/>
    <mergeCell ref="S21:T22"/>
    <mergeCell ref="B21:N22"/>
    <mergeCell ref="U27:AE28"/>
    <mergeCell ref="L9:M10"/>
    <mergeCell ref="N9:O10"/>
    <mergeCell ref="AA10:AA11"/>
    <mergeCell ref="AB10:AC11"/>
    <mergeCell ref="N11:O12"/>
    <mergeCell ref="P11:Q12"/>
    <mergeCell ref="G11:H12"/>
    <mergeCell ref="B11:C12"/>
    <mergeCell ref="D11:F12"/>
    <mergeCell ref="G9:H10"/>
    <mergeCell ref="D9:F10"/>
    <mergeCell ref="Y42:Z43"/>
    <mergeCell ref="AA42:AB43"/>
    <mergeCell ref="Y44:Z45"/>
    <mergeCell ref="AA44:AB45"/>
    <mergeCell ref="H42:L43"/>
    <mergeCell ref="S27:S28"/>
    <mergeCell ref="K36:P37"/>
    <mergeCell ref="I17:K18"/>
    <mergeCell ref="F33:M34"/>
    <mergeCell ref="N33:O34"/>
    <mergeCell ref="P33:P34"/>
    <mergeCell ref="H36:I37"/>
    <mergeCell ref="L17:M18"/>
    <mergeCell ref="N17:P18"/>
    <mergeCell ref="P15:Q16"/>
    <mergeCell ref="I15:K16"/>
    <mergeCell ref="G15:H16"/>
    <mergeCell ref="G17:H18"/>
    <mergeCell ref="B13:C14"/>
    <mergeCell ref="G13:H14"/>
    <mergeCell ref="D13:F14"/>
    <mergeCell ref="P13:Q14"/>
    <mergeCell ref="I13:K14"/>
    <mergeCell ref="I11:K12"/>
    <mergeCell ref="AC42:AD43"/>
    <mergeCell ref="AE42:AF43"/>
    <mergeCell ref="B6:F8"/>
    <mergeCell ref="P9:Q10"/>
    <mergeCell ref="L15:M16"/>
    <mergeCell ref="N15:O16"/>
    <mergeCell ref="L13:M14"/>
    <mergeCell ref="N13:O14"/>
    <mergeCell ref="B9:C10"/>
    <mergeCell ref="T36:Z37"/>
    <mergeCell ref="AA36:AB37"/>
    <mergeCell ref="AC36:AC37"/>
    <mergeCell ref="AD36:AF37"/>
    <mergeCell ref="I9:K10"/>
    <mergeCell ref="X10:X11"/>
    <mergeCell ref="Y10:Z11"/>
    <mergeCell ref="AA6:AF7"/>
    <mergeCell ref="X8:Z9"/>
    <mergeCell ref="AA8:AB9"/>
    <mergeCell ref="AC8:AF9"/>
    <mergeCell ref="L11:M12"/>
    <mergeCell ref="V6:Z7"/>
    <mergeCell ref="V8:W9"/>
    <mergeCell ref="S2:T3"/>
    <mergeCell ref="V2:W3"/>
    <mergeCell ref="AE2:AF3"/>
    <mergeCell ref="G6:T8"/>
    <mergeCell ref="H2:K3"/>
    <mergeCell ref="B15:C16"/>
    <mergeCell ref="B17:C18"/>
    <mergeCell ref="D15:F16"/>
    <mergeCell ref="D17:F18"/>
    <mergeCell ref="R13:T14"/>
    <mergeCell ref="R11:T12"/>
    <mergeCell ref="R9:T10"/>
    <mergeCell ref="X17:Z18"/>
    <mergeCell ref="V10:W11"/>
    <mergeCell ref="V15:Z16"/>
    <mergeCell ref="V17:W18"/>
    <mergeCell ref="B46:C47"/>
    <mergeCell ref="D46:D47"/>
    <mergeCell ref="F46:G47"/>
    <mergeCell ref="B36:B37"/>
    <mergeCell ref="C36:G37"/>
    <mergeCell ref="B42:F43"/>
    <mergeCell ref="H46:H47"/>
    <mergeCell ref="J46:K47"/>
    <mergeCell ref="L46:L47"/>
    <mergeCell ref="N46:O47"/>
    <mergeCell ref="P46:P47"/>
    <mergeCell ref="R46:S47"/>
    <mergeCell ref="P42:Q43"/>
    <mergeCell ref="Q36:R37"/>
    <mergeCell ref="S36:S37"/>
    <mergeCell ref="F50:G51"/>
    <mergeCell ref="H50:H51"/>
    <mergeCell ref="J50:K51"/>
    <mergeCell ref="L50:L51"/>
    <mergeCell ref="J36:J37"/>
    <mergeCell ref="B33:D34"/>
    <mergeCell ref="Y2:Z3"/>
    <mergeCell ref="AB2:AC3"/>
    <mergeCell ref="M2:N3"/>
    <mergeCell ref="P2:Q3"/>
    <mergeCell ref="Q33:T34"/>
    <mergeCell ref="U33:V34"/>
    <mergeCell ref="W33:W34"/>
    <mergeCell ref="X33:AC34"/>
    <mergeCell ref="AA15:AF16"/>
    <mergeCell ref="R17:T18"/>
    <mergeCell ref="Q17:Q18"/>
    <mergeCell ref="AA19:AA20"/>
    <mergeCell ref="AB19:AC20"/>
    <mergeCell ref="R15:T16"/>
    <mergeCell ref="AA17:AB18"/>
    <mergeCell ref="AC17:AF18"/>
    <mergeCell ref="Y19:Z20"/>
    <mergeCell ref="AD19:AD20"/>
    <mergeCell ref="H27:R28"/>
    <mergeCell ref="AD33:AE34"/>
    <mergeCell ref="AF33:AF34"/>
    <mergeCell ref="V19:W20"/>
    <mergeCell ref="X19:X20"/>
    <mergeCell ref="AF27:AF28"/>
    <mergeCell ref="AC44:AD45"/>
    <mergeCell ref="AE44:AF45"/>
    <mergeCell ref="Y50:Z51"/>
    <mergeCell ref="AA50:AB51"/>
    <mergeCell ref="W42:X51"/>
    <mergeCell ref="T46:T47"/>
    <mergeCell ref="Q50:Q51"/>
    <mergeCell ref="N50:P51"/>
    <mergeCell ref="AC46:AD47"/>
    <mergeCell ref="AE46:AF47"/>
    <mergeCell ref="AC48:AD49"/>
    <mergeCell ref="AE48:AF49"/>
    <mergeCell ref="Y46:Z47"/>
    <mergeCell ref="AA46:AB47"/>
    <mergeCell ref="Y48:Z49"/>
    <mergeCell ref="AA48:AB49"/>
    <mergeCell ref="AC50:AD51"/>
    <mergeCell ref="AE74:AF75"/>
    <mergeCell ref="R70:X71"/>
    <mergeCell ref="Y70:AD71"/>
    <mergeCell ref="AE70:AF71"/>
    <mergeCell ref="AE72:AF73"/>
    <mergeCell ref="B66:K67"/>
    <mergeCell ref="AE68:AF69"/>
    <mergeCell ref="Y68:AD69"/>
    <mergeCell ref="R68:X69"/>
    <mergeCell ref="I57:I58"/>
    <mergeCell ref="J57:P58"/>
    <mergeCell ref="Q57:R58"/>
    <mergeCell ref="S57:S58"/>
    <mergeCell ref="I60:I61"/>
    <mergeCell ref="U60:V61"/>
    <mergeCell ref="B80:H81"/>
    <mergeCell ref="I80:N81"/>
    <mergeCell ref="B86:H87"/>
    <mergeCell ref="I86:N87"/>
    <mergeCell ref="B72:H73"/>
    <mergeCell ref="AE86:AF87"/>
    <mergeCell ref="AE80:AF81"/>
    <mergeCell ref="AE92:AF93"/>
    <mergeCell ref="B92:H93"/>
    <mergeCell ref="I92:N93"/>
    <mergeCell ref="O92:P93"/>
    <mergeCell ref="R92:X93"/>
    <mergeCell ref="AE94:AF95"/>
    <mergeCell ref="B96:H97"/>
    <mergeCell ref="I96:N97"/>
    <mergeCell ref="O96:P97"/>
    <mergeCell ref="T57:X58"/>
    <mergeCell ref="Y57:Z58"/>
    <mergeCell ref="AA57:AA58"/>
    <mergeCell ref="J60:T61"/>
    <mergeCell ref="W60:W61"/>
    <mergeCell ref="X60:Z61"/>
    <mergeCell ref="AE50:AF51"/>
    <mergeCell ref="Y54:Z55"/>
    <mergeCell ref="AA54:AA55"/>
    <mergeCell ref="T54:X55"/>
    <mergeCell ref="Q54:R55"/>
    <mergeCell ref="S54:S55"/>
    <mergeCell ref="B54:H55"/>
    <mergeCell ref="J54:P55"/>
    <mergeCell ref="I54:I55"/>
    <mergeCell ref="AU41:AV42"/>
    <mergeCell ref="AW41:AX42"/>
    <mergeCell ref="AY41:BA42"/>
    <mergeCell ref="BB11:BD12"/>
    <mergeCell ref="AX11:BA12"/>
    <mergeCell ref="AU39:AV40"/>
    <mergeCell ref="AW39:AX40"/>
    <mergeCell ref="AY39:BA40"/>
    <mergeCell ref="AN36:BA38"/>
    <mergeCell ref="AS41:AT42"/>
    <mergeCell ref="AI13:AL14"/>
    <mergeCell ref="AM13:BH14"/>
    <mergeCell ref="AL9:AT10"/>
    <mergeCell ref="AL11:AT12"/>
    <mergeCell ref="AU11:AW12"/>
    <mergeCell ref="AI11:AK12"/>
    <mergeCell ref="AU9:AX10"/>
    <mergeCell ref="AI9:AK10"/>
    <mergeCell ref="BE11:BH12"/>
    <mergeCell ref="AW19:AX20"/>
    <mergeCell ref="BC19:BD20"/>
    <mergeCell ref="BI19:BJ20"/>
    <mergeCell ref="AI15:BH16"/>
    <mergeCell ref="AY19:BA20"/>
    <mergeCell ref="AK18:AM19"/>
    <mergeCell ref="AN18:AP19"/>
    <mergeCell ref="BN12:BO13"/>
    <mergeCell ref="BQ12:BQ13"/>
    <mergeCell ref="BL19:BN20"/>
    <mergeCell ref="BJ10:BM11"/>
    <mergeCell ref="BJ14:BM15"/>
    <mergeCell ref="BP19:BQ20"/>
    <mergeCell ref="BJ16:BM17"/>
    <mergeCell ref="BJ12:BM13"/>
    <mergeCell ref="BN10:BO11"/>
    <mergeCell ref="BN14:BO15"/>
    <mergeCell ref="BN28:BV29"/>
    <mergeCell ref="BR16:BS17"/>
    <mergeCell ref="BQ14:BQ15"/>
    <mergeCell ref="BQ16:BQ17"/>
    <mergeCell ref="BR19:BV20"/>
    <mergeCell ref="BT14:BV15"/>
    <mergeCell ref="BT39:BV40"/>
    <mergeCell ref="BD36:BH38"/>
    <mergeCell ref="BI36:BV38"/>
    <mergeCell ref="BD39:BE40"/>
    <mergeCell ref="BF39:BH40"/>
    <mergeCell ref="BI39:BJ40"/>
    <mergeCell ref="BK39:BM40"/>
    <mergeCell ref="BN39:BO40"/>
    <mergeCell ref="BP39:BQ40"/>
    <mergeCell ref="AK26:AM27"/>
    <mergeCell ref="AN26:AP27"/>
    <mergeCell ref="AK28:AM29"/>
    <mergeCell ref="AN28:AP29"/>
    <mergeCell ref="AK32:AM33"/>
    <mergeCell ref="AS39:AT40"/>
    <mergeCell ref="AI36:AM38"/>
    <mergeCell ref="AN32:AP33"/>
    <mergeCell ref="AI39:AJ40"/>
    <mergeCell ref="AI26:AJ27"/>
    <mergeCell ref="AI28:AJ29"/>
    <mergeCell ref="AI30:AJ31"/>
    <mergeCell ref="AI32:AJ33"/>
    <mergeCell ref="BN30:BV31"/>
    <mergeCell ref="AI41:AJ42"/>
    <mergeCell ref="AK41:AM42"/>
    <mergeCell ref="BN32:BV33"/>
    <mergeCell ref="BE30:BM31"/>
    <mergeCell ref="AK39:AM40"/>
    <mergeCell ref="AN39:AO40"/>
    <mergeCell ref="AP39:AR40"/>
    <mergeCell ref="AK30:AM31"/>
    <mergeCell ref="AN30:AP31"/>
    <mergeCell ref="AN43:AO44"/>
    <mergeCell ref="AP43:AR44"/>
    <mergeCell ref="AP41:AR42"/>
    <mergeCell ref="AS43:AT44"/>
    <mergeCell ref="AU43:AV44"/>
    <mergeCell ref="AW43:AX44"/>
    <mergeCell ref="AY43:BA44"/>
    <mergeCell ref="AI45:AJ46"/>
    <mergeCell ref="AK45:AM46"/>
    <mergeCell ref="AN45:AO46"/>
    <mergeCell ref="AP45:AR46"/>
    <mergeCell ref="AS45:AT46"/>
    <mergeCell ref="AU45:AV46"/>
    <mergeCell ref="AW45:AX46"/>
    <mergeCell ref="AI47:AJ48"/>
    <mergeCell ref="AK47:AM48"/>
    <mergeCell ref="AN47:AO48"/>
    <mergeCell ref="AP47:AR48"/>
    <mergeCell ref="AS47:AT48"/>
    <mergeCell ref="AU47:AW48"/>
    <mergeCell ref="AX47:AX48"/>
    <mergeCell ref="AY47:BA48"/>
    <mergeCell ref="AI49:AL50"/>
    <mergeCell ref="AM49:AQ50"/>
    <mergeCell ref="AS49:AV50"/>
    <mergeCell ref="AW49:BA50"/>
    <mergeCell ref="AI51:AJ52"/>
    <mergeCell ref="AK51:AL52"/>
    <mergeCell ref="AM51:AN52"/>
    <mergeCell ref="AO51:AQ52"/>
    <mergeCell ref="AS51:AT52"/>
    <mergeCell ref="AU51:AV52"/>
    <mergeCell ref="AW51:AX52"/>
    <mergeCell ref="AY51:BA52"/>
    <mergeCell ref="AI53:AI54"/>
    <mergeCell ref="AJ53:AK54"/>
    <mergeCell ref="AL53:AL54"/>
    <mergeCell ref="AM53:AN54"/>
    <mergeCell ref="AO53:AO54"/>
    <mergeCell ref="AP53:AQ54"/>
    <mergeCell ref="AS53:AS54"/>
    <mergeCell ref="AT53:AU54"/>
    <mergeCell ref="AV53:AV54"/>
    <mergeCell ref="AW53:AX54"/>
    <mergeCell ref="AY53:AY54"/>
    <mergeCell ref="AZ53:BA54"/>
    <mergeCell ref="AI55:AQ56"/>
    <mergeCell ref="AO64:AU65"/>
    <mergeCell ref="AS55:BA56"/>
    <mergeCell ref="AX61:AY63"/>
    <mergeCell ref="AZ61:BA63"/>
    <mergeCell ref="AI61:AM63"/>
    <mergeCell ref="AI64:AI65"/>
    <mergeCell ref="AJ64:AL65"/>
    <mergeCell ref="AM64:AN65"/>
    <mergeCell ref="AZ70:BA72"/>
    <mergeCell ref="AI66:AJ67"/>
    <mergeCell ref="AK66:AK67"/>
    <mergeCell ref="AL66:AM67"/>
    <mergeCell ref="AN66:AN67"/>
    <mergeCell ref="AO66:AP67"/>
    <mergeCell ref="AQ66:AQ67"/>
    <mergeCell ref="AR66:AS67"/>
    <mergeCell ref="BK45:BM46"/>
    <mergeCell ref="AI110:AL112"/>
    <mergeCell ref="AM110:AT112"/>
    <mergeCell ref="AT68:AU69"/>
    <mergeCell ref="AZ75:BA76"/>
    <mergeCell ref="AS73:BA74"/>
    <mergeCell ref="AI73:AJ74"/>
    <mergeCell ref="BA110:BH112"/>
    <mergeCell ref="AV70:AW72"/>
    <mergeCell ref="AX70:AY72"/>
    <mergeCell ref="BI43:BJ44"/>
    <mergeCell ref="BD47:BE48"/>
    <mergeCell ref="BF47:BH48"/>
    <mergeCell ref="AX64:BA65"/>
    <mergeCell ref="BD51:BE52"/>
    <mergeCell ref="BF51:BG52"/>
    <mergeCell ref="BH51:BI52"/>
    <mergeCell ref="BJ51:BL52"/>
    <mergeCell ref="BD53:BD54"/>
    <mergeCell ref="BE53:BF54"/>
    <mergeCell ref="AM113:AN114"/>
    <mergeCell ref="AO113:AP114"/>
    <mergeCell ref="AT66:AY67"/>
    <mergeCell ref="AV64:AW65"/>
    <mergeCell ref="AK73:AO74"/>
    <mergeCell ref="AP73:AR74"/>
    <mergeCell ref="AR75:AS76"/>
    <mergeCell ref="AL70:AS72"/>
    <mergeCell ref="AI70:AK72"/>
    <mergeCell ref="AT70:AU72"/>
    <mergeCell ref="AQ113:AR114"/>
    <mergeCell ref="AS113:AT114"/>
    <mergeCell ref="AI115:AJ116"/>
    <mergeCell ref="AK115:AL116"/>
    <mergeCell ref="AM115:AN116"/>
    <mergeCell ref="AO115:AP116"/>
    <mergeCell ref="AQ115:AR116"/>
    <mergeCell ref="AS115:AT116"/>
    <mergeCell ref="AI113:AJ114"/>
    <mergeCell ref="AK113:AL114"/>
    <mergeCell ref="AI117:AJ118"/>
    <mergeCell ref="AK117:AN118"/>
    <mergeCell ref="AO117:AP118"/>
    <mergeCell ref="AQ117:AR118"/>
    <mergeCell ref="AS117:AT118"/>
    <mergeCell ref="AI119:AK122"/>
    <mergeCell ref="AL119:AL120"/>
    <mergeCell ref="AM119:AN120"/>
    <mergeCell ref="AO119:AO120"/>
    <mergeCell ref="AP119:AQ120"/>
    <mergeCell ref="AR119:AR120"/>
    <mergeCell ref="AS119:AT120"/>
    <mergeCell ref="AL121:AL122"/>
    <mergeCell ref="AM121:AN122"/>
    <mergeCell ref="AP121:AT122"/>
    <mergeCell ref="AI123:AK126"/>
    <mergeCell ref="AL123:AL124"/>
    <mergeCell ref="AM123:AN124"/>
    <mergeCell ref="AO123:AO124"/>
    <mergeCell ref="AP123:AQ124"/>
    <mergeCell ref="AR123:AR124"/>
    <mergeCell ref="AS123:AT124"/>
    <mergeCell ref="AL125:AL126"/>
    <mergeCell ref="AT125:AT126"/>
    <mergeCell ref="AI127:AT128"/>
    <mergeCell ref="AI129:AT130"/>
    <mergeCell ref="AM125:AN126"/>
    <mergeCell ref="AO125:AP126"/>
    <mergeCell ref="AQ125:AR126"/>
    <mergeCell ref="AS125:AS126"/>
    <mergeCell ref="B2:F3"/>
    <mergeCell ref="BN121:BN122"/>
    <mergeCell ref="BO121:BP122"/>
    <mergeCell ref="BG117:BH118"/>
    <mergeCell ref="BK115:BL116"/>
    <mergeCell ref="BM115:BN116"/>
    <mergeCell ref="BK117:BL118"/>
    <mergeCell ref="BM117:BP118"/>
    <mergeCell ref="AO121:AO122"/>
    <mergeCell ref="AW110:AZ112"/>
    <mergeCell ref="AW113:AX114"/>
    <mergeCell ref="AY113:AZ114"/>
    <mergeCell ref="BA113:BB114"/>
    <mergeCell ref="BC113:BD114"/>
    <mergeCell ref="BE113:BF114"/>
    <mergeCell ref="BG113:BH114"/>
    <mergeCell ref="BE115:BF116"/>
    <mergeCell ref="BG115:BH116"/>
    <mergeCell ref="AW117:AX118"/>
    <mergeCell ref="AY117:BB118"/>
    <mergeCell ref="BC117:BD118"/>
    <mergeCell ref="BE117:BF118"/>
    <mergeCell ref="AW115:AX116"/>
    <mergeCell ref="AY115:AZ116"/>
    <mergeCell ref="BA115:BB116"/>
    <mergeCell ref="BC115:BD116"/>
    <mergeCell ref="AW119:AY122"/>
    <mergeCell ref="AZ119:AZ120"/>
    <mergeCell ref="BA119:BB120"/>
    <mergeCell ref="BC119:BC120"/>
    <mergeCell ref="BD119:BE120"/>
    <mergeCell ref="BF119:BF120"/>
    <mergeCell ref="BG119:BH120"/>
    <mergeCell ref="AZ121:AZ122"/>
    <mergeCell ref="BA121:BB122"/>
    <mergeCell ref="BC121:BC122"/>
    <mergeCell ref="BD121:BH122"/>
    <mergeCell ref="AW123:AY126"/>
    <mergeCell ref="AZ123:AZ124"/>
    <mergeCell ref="BA123:BB124"/>
    <mergeCell ref="BC123:BC124"/>
    <mergeCell ref="BD123:BE124"/>
    <mergeCell ref="BF123:BF124"/>
    <mergeCell ref="BG123:BH124"/>
    <mergeCell ref="AZ125:AZ126"/>
    <mergeCell ref="BA125:BB126"/>
    <mergeCell ref="BC125:BD126"/>
    <mergeCell ref="BE125:BF126"/>
    <mergeCell ref="BG125:BG126"/>
    <mergeCell ref="BH125:BH126"/>
    <mergeCell ref="AW127:BH128"/>
    <mergeCell ref="AW129:BH130"/>
    <mergeCell ref="BK110:BN112"/>
    <mergeCell ref="BO110:BV112"/>
    <mergeCell ref="BK113:BL114"/>
    <mergeCell ref="BM113:BN114"/>
    <mergeCell ref="BO113:BP114"/>
    <mergeCell ref="BQ113:BR114"/>
    <mergeCell ref="BS113:BT114"/>
    <mergeCell ref="BU113:BV114"/>
    <mergeCell ref="BO115:BP116"/>
    <mergeCell ref="BQ115:BR116"/>
    <mergeCell ref="BS115:BT116"/>
    <mergeCell ref="BU115:BV116"/>
    <mergeCell ref="BQ117:BR118"/>
    <mergeCell ref="BS117:BT118"/>
    <mergeCell ref="BU117:BV118"/>
    <mergeCell ref="BK119:BM122"/>
    <mergeCell ref="BN119:BN120"/>
    <mergeCell ref="BO119:BP120"/>
    <mergeCell ref="BQ119:BQ120"/>
    <mergeCell ref="BR119:BS120"/>
    <mergeCell ref="BT119:BT120"/>
    <mergeCell ref="BU119:BV120"/>
    <mergeCell ref="BK123:BM126"/>
    <mergeCell ref="BT123:BT124"/>
    <mergeCell ref="BU123:BV124"/>
    <mergeCell ref="BN125:BN126"/>
    <mergeCell ref="BV125:BV126"/>
    <mergeCell ref="BN123:BN124"/>
    <mergeCell ref="BO123:BP124"/>
    <mergeCell ref="BQ123:BQ124"/>
    <mergeCell ref="BR123:BS124"/>
    <mergeCell ref="BK127:BV128"/>
    <mergeCell ref="BK129:BV130"/>
    <mergeCell ref="AI2:BV3"/>
    <mergeCell ref="BO125:BP126"/>
    <mergeCell ref="BQ125:BR126"/>
    <mergeCell ref="BS125:BT126"/>
    <mergeCell ref="BU125:BU126"/>
    <mergeCell ref="BQ121:BQ122"/>
    <mergeCell ref="BR121:BV122"/>
    <mergeCell ref="AR26:AU27"/>
    <mergeCell ref="AV26:BD27"/>
    <mergeCell ref="BE26:BM27"/>
    <mergeCell ref="BI24:BV25"/>
    <mergeCell ref="BN26:BV27"/>
    <mergeCell ref="AR24:BH25"/>
    <mergeCell ref="BE28:BM29"/>
    <mergeCell ref="AR28:BD29"/>
    <mergeCell ref="BE32:BM33"/>
    <mergeCell ref="AR30:BD31"/>
    <mergeCell ref="AR32:BD33"/>
    <mergeCell ref="BR6:BV7"/>
    <mergeCell ref="BT10:BV11"/>
    <mergeCell ref="BR12:BS13"/>
    <mergeCell ref="BT12:BV13"/>
    <mergeCell ref="BR8:BS9"/>
    <mergeCell ref="BT8:BV9"/>
    <mergeCell ref="BR10:BS11"/>
    <mergeCell ref="AI24:AJ25"/>
    <mergeCell ref="AI18:AJ19"/>
    <mergeCell ref="AI20:AJ21"/>
    <mergeCell ref="AI22:AJ23"/>
    <mergeCell ref="AK24:AM25"/>
    <mergeCell ref="AK20:AM21"/>
    <mergeCell ref="AN20:AP21"/>
    <mergeCell ref="AK22:AM23"/>
    <mergeCell ref="AN22:AP23"/>
    <mergeCell ref="AN24:AP25"/>
    <mergeCell ref="AR22:BH23"/>
    <mergeCell ref="BI22:BV23"/>
    <mergeCell ref="AR20:AU21"/>
    <mergeCell ref="BN8:BO9"/>
    <mergeCell ref="BQ8:BQ9"/>
    <mergeCell ref="BQ10:BQ11"/>
    <mergeCell ref="BE19:BG20"/>
    <mergeCell ref="BR14:BS15"/>
    <mergeCell ref="BT16:BV17"/>
    <mergeCell ref="BN16:BO17"/>
    <mergeCell ref="AI6:AM8"/>
    <mergeCell ref="BJ6:BM7"/>
    <mergeCell ref="AN6:BH8"/>
    <mergeCell ref="AY9:BH10"/>
    <mergeCell ref="BJ8:BM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Grossman Cap Co.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McConnell</dc:creator>
  <cp:keywords/>
  <dc:description/>
  <cp:lastModifiedBy>Олег Г. Пугач</cp:lastModifiedBy>
  <cp:lastPrinted>2004-06-11T12:27:58Z</cp:lastPrinted>
  <dcterms:created xsi:type="dcterms:W3CDTF">2002-01-03T20:34:55Z</dcterms:created>
  <dcterms:modified xsi:type="dcterms:W3CDTF">2004-07-04T13:52:57Z</dcterms:modified>
  <cp:category/>
  <cp:version/>
  <cp:contentType/>
  <cp:contentStatus/>
</cp:coreProperties>
</file>